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66"/>
  <workbookPr defaultThemeVersion="124226"/>
  <mc:AlternateContent xmlns:mc="http://schemas.openxmlformats.org/markup-compatibility/2006">
    <mc:Choice Requires="x15">
      <x15ac:absPath xmlns:x15ac="http://schemas.microsoft.com/office/spreadsheetml/2010/11/ac" url="C:\Users\fukui\Desktop\"/>
    </mc:Choice>
  </mc:AlternateContent>
  <bookViews>
    <workbookView xWindow="-26" yWindow="-69" windowWidth="10980" windowHeight="9969" tabRatio="663"/>
  </bookViews>
  <sheets>
    <sheet name="AntibodyDrugList" sheetId="37" r:id="rId1"/>
    <sheet name="Figures&amp;Tables" sheetId="35" r:id="rId2"/>
  </sheets>
  <calcPr calcId="162913"/>
</workbook>
</file>

<file path=xl/calcChain.xml><?xml version="1.0" encoding="utf-8"?>
<calcChain xmlns="http://schemas.openxmlformats.org/spreadsheetml/2006/main">
  <c r="AB24" i="35" l="1"/>
  <c r="AB23" i="35"/>
  <c r="AB22" i="35"/>
  <c r="AB21" i="35"/>
  <c r="AB20" i="35"/>
  <c r="AB19" i="35"/>
  <c r="AB18" i="35"/>
  <c r="AB17" i="35"/>
  <c r="AB16" i="35"/>
  <c r="AB15" i="35"/>
  <c r="AB14" i="35"/>
  <c r="AB13" i="35"/>
  <c r="AB12" i="35"/>
  <c r="Y12" i="35"/>
  <c r="AB11" i="35"/>
  <c r="Y11" i="35"/>
  <c r="AB10" i="35"/>
  <c r="Y10" i="35"/>
  <c r="AB9" i="35"/>
  <c r="Y9" i="35"/>
  <c r="AB8" i="35"/>
  <c r="Y8" i="35"/>
  <c r="AB7" i="35"/>
  <c r="Y7" i="35"/>
  <c r="AB6" i="35"/>
  <c r="Y6" i="35"/>
  <c r="AB5" i="35"/>
  <c r="Y5" i="35"/>
  <c r="AB4" i="35"/>
  <c r="Y4" i="35"/>
  <c r="BA17" i="35"/>
  <c r="BA18" i="35"/>
  <c r="BA19" i="35"/>
  <c r="BA20" i="35"/>
  <c r="BA21" i="35"/>
  <c r="BA22" i="35"/>
  <c r="BA23" i="35"/>
  <c r="BA24" i="35"/>
  <c r="BA25" i="35"/>
  <c r="BA26" i="35"/>
  <c r="BA27" i="35"/>
  <c r="BA28" i="35"/>
  <c r="BA29" i="35"/>
  <c r="BA30" i="35"/>
  <c r="BA31" i="35"/>
  <c r="BA32" i="35"/>
  <c r="BA33" i="35"/>
  <c r="BA34" i="35"/>
  <c r="BA35" i="35"/>
  <c r="BA36" i="35"/>
  <c r="BA37" i="35"/>
  <c r="BA38" i="35"/>
  <c r="BA39" i="35"/>
  <c r="BA40" i="35"/>
  <c r="BA41" i="35"/>
  <c r="BA42" i="35"/>
  <c r="BA43" i="35"/>
  <c r="BA44" i="35"/>
  <c r="BA45" i="35"/>
  <c r="BA46" i="35"/>
  <c r="BA47" i="35"/>
  <c r="BA48" i="35"/>
  <c r="BA49" i="35"/>
  <c r="BA50" i="35"/>
  <c r="BA51" i="35"/>
  <c r="AZ17" i="35"/>
  <c r="AZ18" i="35"/>
  <c r="AZ19" i="35"/>
  <c r="AZ20" i="35"/>
  <c r="AZ21" i="35"/>
  <c r="AZ22" i="35"/>
  <c r="AZ23" i="35"/>
  <c r="AZ24" i="35"/>
  <c r="AZ25" i="35"/>
  <c r="AZ26" i="35"/>
  <c r="AZ27" i="35"/>
  <c r="AZ28" i="35"/>
  <c r="AZ29" i="35"/>
  <c r="AZ30" i="35"/>
  <c r="AZ31" i="35"/>
  <c r="AZ32" i="35"/>
  <c r="AZ33" i="35"/>
  <c r="AZ34" i="35"/>
  <c r="AZ35" i="35"/>
  <c r="AZ36" i="35"/>
  <c r="AZ37" i="35"/>
  <c r="AZ38" i="35"/>
  <c r="AZ39" i="35"/>
  <c r="AZ40" i="35"/>
  <c r="AZ41" i="35"/>
  <c r="AZ42" i="35"/>
  <c r="AZ43" i="35"/>
  <c r="AZ44" i="35"/>
  <c r="AZ45" i="35"/>
  <c r="AZ46" i="35"/>
  <c r="AZ47" i="35"/>
  <c r="AZ48" i="35"/>
  <c r="AZ49" i="35"/>
  <c r="AZ50" i="35"/>
  <c r="AZ51" i="35"/>
  <c r="AY17" i="35"/>
  <c r="AY18" i="35"/>
  <c r="AY19" i="35"/>
  <c r="AY20" i="35"/>
  <c r="AY21" i="35"/>
  <c r="AY22" i="35"/>
  <c r="AY23" i="35"/>
  <c r="AY24" i="35"/>
  <c r="AY25" i="35"/>
  <c r="AY26" i="35"/>
  <c r="AY27" i="35"/>
  <c r="AY28" i="35"/>
  <c r="AY29" i="35"/>
  <c r="AY30" i="35"/>
  <c r="AY31" i="35"/>
  <c r="AY32" i="35"/>
  <c r="AY33" i="35"/>
  <c r="AY34" i="35"/>
  <c r="AY35" i="35"/>
  <c r="AY36" i="35"/>
  <c r="AY37" i="35"/>
  <c r="AY38" i="35"/>
  <c r="AY39" i="35"/>
  <c r="AY40" i="35"/>
  <c r="AY41" i="35"/>
  <c r="AY42" i="35"/>
  <c r="AY43" i="35"/>
  <c r="AY44" i="35"/>
  <c r="AY45" i="35"/>
  <c r="AY46" i="35"/>
  <c r="AY47" i="35"/>
  <c r="AY48" i="35"/>
  <c r="AY49" i="35"/>
  <c r="AY50" i="35"/>
  <c r="AY51" i="35"/>
  <c r="AX17" i="35"/>
  <c r="AX18" i="35"/>
  <c r="AX19" i="35"/>
  <c r="AX20" i="35"/>
  <c r="AX21" i="35"/>
  <c r="AX22" i="35"/>
  <c r="AX23" i="35"/>
  <c r="AX24" i="35"/>
  <c r="AX25" i="35"/>
  <c r="AX26" i="35"/>
  <c r="AX27" i="35"/>
  <c r="AX28" i="35"/>
  <c r="AX29" i="35"/>
  <c r="AX30" i="35"/>
  <c r="AX31" i="35"/>
  <c r="AX32" i="35"/>
  <c r="AX33" i="35"/>
  <c r="AX34" i="35"/>
  <c r="AX35" i="35"/>
  <c r="AX36" i="35"/>
  <c r="AX37" i="35"/>
  <c r="AX38" i="35"/>
  <c r="AX39" i="35"/>
  <c r="AX40" i="35"/>
  <c r="AX41" i="35"/>
  <c r="AX42" i="35"/>
  <c r="AX43" i="35"/>
  <c r="AX44" i="35"/>
  <c r="AX45" i="35"/>
  <c r="AX46" i="35"/>
  <c r="AX47" i="35"/>
  <c r="AX48" i="35"/>
  <c r="AX49" i="35"/>
  <c r="AX50" i="35"/>
  <c r="AX51" i="35"/>
  <c r="AW17" i="35"/>
  <c r="AW18" i="35"/>
  <c r="AW19" i="35"/>
  <c r="AW20" i="35"/>
  <c r="AW21" i="35"/>
  <c r="AW22" i="35"/>
  <c r="AW23" i="35"/>
  <c r="AW24" i="35"/>
  <c r="AW25" i="35"/>
  <c r="AW26" i="35"/>
  <c r="AW27" i="35"/>
  <c r="AW28" i="35"/>
  <c r="AW29" i="35"/>
  <c r="AW30" i="35"/>
  <c r="AW31" i="35"/>
  <c r="AW32" i="35"/>
  <c r="AW33" i="35"/>
  <c r="AW34" i="35"/>
  <c r="AW35" i="35"/>
  <c r="AW36" i="35"/>
  <c r="AW37" i="35"/>
  <c r="AW38" i="35"/>
  <c r="AW39" i="35"/>
  <c r="AW40" i="35"/>
  <c r="AW41" i="35"/>
  <c r="AW42" i="35"/>
  <c r="AW43" i="35"/>
  <c r="AW44" i="35"/>
  <c r="AW45" i="35"/>
  <c r="AW46" i="35"/>
  <c r="AW47" i="35"/>
  <c r="AW48" i="35"/>
  <c r="AW49" i="35"/>
  <c r="AW50" i="35"/>
  <c r="AW51" i="35"/>
  <c r="AV17" i="35"/>
  <c r="AV18" i="35"/>
  <c r="AV19" i="35"/>
  <c r="AV20" i="35"/>
  <c r="AV21" i="35"/>
  <c r="AV22" i="35"/>
  <c r="AV23" i="35"/>
  <c r="AV24" i="35"/>
  <c r="AV25" i="35"/>
  <c r="AV26" i="35"/>
  <c r="AV27" i="35"/>
  <c r="AV28" i="35"/>
  <c r="AV29" i="35"/>
  <c r="AV30" i="35"/>
  <c r="AV31" i="35"/>
  <c r="AV32" i="35"/>
  <c r="AV33" i="35"/>
  <c r="AV34" i="35"/>
  <c r="AV35" i="35"/>
  <c r="AV36" i="35"/>
  <c r="AV37" i="35"/>
  <c r="AV38" i="35"/>
  <c r="AV39" i="35"/>
  <c r="AV40" i="35"/>
  <c r="AV41" i="35"/>
  <c r="AV42" i="35"/>
  <c r="AV43" i="35"/>
  <c r="AV44" i="35"/>
  <c r="AV45" i="35"/>
  <c r="AV46" i="35"/>
  <c r="AV47" i="35"/>
  <c r="AV48" i="35"/>
  <c r="AV49" i="35"/>
  <c r="AV50" i="35"/>
  <c r="AV51" i="35"/>
  <c r="AU17" i="35"/>
  <c r="AU18" i="35"/>
  <c r="AU19" i="35"/>
  <c r="AU20" i="35"/>
  <c r="AU21" i="35"/>
  <c r="AU22" i="35"/>
  <c r="AU23" i="35"/>
  <c r="AU24" i="35"/>
  <c r="AU25" i="35"/>
  <c r="AU26" i="35"/>
  <c r="AU27" i="35"/>
  <c r="AU28" i="35"/>
  <c r="AU29" i="35"/>
  <c r="AU30" i="35"/>
  <c r="AU31" i="35"/>
  <c r="AU32" i="35"/>
  <c r="AU33" i="35"/>
  <c r="AU34" i="35"/>
  <c r="AU35" i="35"/>
  <c r="AU36" i="35"/>
  <c r="AU37" i="35"/>
  <c r="AU38" i="35"/>
  <c r="AU39" i="35"/>
  <c r="AU40" i="35"/>
  <c r="AU41" i="35"/>
  <c r="AU42" i="35"/>
  <c r="AU43" i="35"/>
  <c r="AU44" i="35"/>
  <c r="AU45" i="35"/>
  <c r="AU46" i="35"/>
  <c r="AU47" i="35"/>
  <c r="AU48" i="35"/>
  <c r="AU49" i="35"/>
  <c r="AU50" i="35"/>
  <c r="AU51" i="35"/>
  <c r="AT17" i="35"/>
  <c r="AT18" i="35"/>
  <c r="AT19" i="35"/>
  <c r="AT20" i="35"/>
  <c r="AT21" i="35"/>
  <c r="AT22" i="35"/>
  <c r="AT23" i="35"/>
  <c r="AT24" i="35"/>
  <c r="AT25" i="35"/>
  <c r="AT26" i="35"/>
  <c r="AT27" i="35"/>
  <c r="AT28" i="35"/>
  <c r="AT29" i="35"/>
  <c r="AT30" i="35"/>
  <c r="AT31" i="35"/>
  <c r="AT32" i="35"/>
  <c r="AT33" i="35"/>
  <c r="AT34" i="35"/>
  <c r="AT35" i="35"/>
  <c r="AT36" i="35"/>
  <c r="AT37" i="35"/>
  <c r="AT38" i="35"/>
  <c r="AT39" i="35"/>
  <c r="AT40" i="35"/>
  <c r="AT41" i="35"/>
  <c r="AT42" i="35"/>
  <c r="AT43" i="35"/>
  <c r="AT44" i="35"/>
  <c r="AT45" i="35"/>
  <c r="AT46" i="35"/>
  <c r="AT47" i="35"/>
  <c r="AT48" i="35"/>
  <c r="AT49" i="35"/>
  <c r="AT50" i="35"/>
  <c r="AT51" i="35"/>
  <c r="AS17" i="35"/>
  <c r="AS18" i="35"/>
  <c r="AS19" i="35"/>
  <c r="AS20" i="35"/>
  <c r="AS21" i="35"/>
  <c r="AS22" i="35"/>
  <c r="AS23" i="35"/>
  <c r="AS24" i="35"/>
  <c r="AS25" i="35"/>
  <c r="AS26" i="35"/>
  <c r="AS27" i="35"/>
  <c r="AS28" i="35"/>
  <c r="AS29" i="35"/>
  <c r="AS30" i="35"/>
  <c r="AS31" i="35"/>
  <c r="AS32" i="35"/>
  <c r="AS33" i="35"/>
  <c r="AS34" i="35"/>
  <c r="AS35" i="35"/>
  <c r="AS36" i="35"/>
  <c r="AS37" i="35"/>
  <c r="AS38" i="35"/>
  <c r="AS39" i="35"/>
  <c r="AS40" i="35"/>
  <c r="AS41" i="35"/>
  <c r="AS42" i="35"/>
  <c r="AS43" i="35"/>
  <c r="AS44" i="35"/>
  <c r="AS45" i="35"/>
  <c r="AS46" i="35"/>
  <c r="AS47" i="35"/>
  <c r="AS48" i="35"/>
  <c r="AS49" i="35"/>
  <c r="AS50" i="35"/>
  <c r="AS51" i="35"/>
  <c r="AR17" i="35"/>
  <c r="AR18" i="35"/>
  <c r="AR19" i="35"/>
  <c r="AR20" i="35"/>
  <c r="AR21" i="35"/>
  <c r="AR22" i="35"/>
  <c r="AR23" i="35"/>
  <c r="AR24" i="35"/>
  <c r="AR25" i="35"/>
  <c r="AR26" i="35"/>
  <c r="AR27" i="35"/>
  <c r="AR28" i="35"/>
  <c r="AR29" i="35"/>
  <c r="AR30" i="35"/>
  <c r="AR31" i="35"/>
  <c r="AR32" i="35"/>
  <c r="AR33" i="35"/>
  <c r="AR34" i="35"/>
  <c r="AR35" i="35"/>
  <c r="AR36" i="35"/>
  <c r="AR37" i="35"/>
  <c r="AR38" i="35"/>
  <c r="AR39" i="35"/>
  <c r="AR40" i="35"/>
  <c r="AR41" i="35"/>
  <c r="AR42" i="35"/>
  <c r="AR43" i="35"/>
  <c r="AR44" i="35"/>
  <c r="AR45" i="35"/>
  <c r="AR46" i="35"/>
  <c r="AR47" i="35"/>
  <c r="AR48" i="35"/>
  <c r="AR49" i="35"/>
  <c r="AR50" i="35"/>
  <c r="AR51" i="35"/>
  <c r="AQ17" i="35"/>
  <c r="AQ18" i="35"/>
  <c r="AQ19" i="35"/>
  <c r="AQ20" i="35"/>
  <c r="AQ21" i="35"/>
  <c r="AQ22" i="35"/>
  <c r="AQ23" i="35"/>
  <c r="AQ24" i="35"/>
  <c r="AQ25" i="35"/>
  <c r="AQ26" i="35"/>
  <c r="AQ27" i="35"/>
  <c r="AQ28" i="35"/>
  <c r="AQ29" i="35"/>
  <c r="AQ30" i="35"/>
  <c r="AQ31" i="35"/>
  <c r="AQ32" i="35"/>
  <c r="AQ33" i="35"/>
  <c r="AQ34" i="35"/>
  <c r="AQ35" i="35"/>
  <c r="AQ36" i="35"/>
  <c r="AQ37" i="35"/>
  <c r="AQ38" i="35"/>
  <c r="AQ39" i="35"/>
  <c r="AQ40" i="35"/>
  <c r="AQ41" i="35"/>
  <c r="AQ42" i="35"/>
  <c r="AQ43" i="35"/>
  <c r="AQ44" i="35"/>
  <c r="AQ45" i="35"/>
  <c r="AQ46" i="35"/>
  <c r="AQ47" i="35"/>
  <c r="AQ48" i="35"/>
  <c r="AQ49" i="35"/>
  <c r="AQ50" i="35"/>
  <c r="AQ51" i="35"/>
  <c r="AP17" i="35"/>
  <c r="AP18" i="35"/>
  <c r="AP19" i="35"/>
  <c r="AP20" i="35"/>
  <c r="AP21" i="35"/>
  <c r="AP22" i="35"/>
  <c r="AP23" i="35"/>
  <c r="AP24" i="35"/>
  <c r="AP25" i="35"/>
  <c r="AP26" i="35"/>
  <c r="AP27" i="35"/>
  <c r="AP28" i="35"/>
  <c r="AP29" i="35"/>
  <c r="AP30" i="35"/>
  <c r="AP31" i="35"/>
  <c r="AP32" i="35"/>
  <c r="AP33" i="35"/>
  <c r="AP34" i="35"/>
  <c r="AP35" i="35"/>
  <c r="AP36" i="35"/>
  <c r="AP37" i="35"/>
  <c r="AP38" i="35"/>
  <c r="AP39" i="35"/>
  <c r="AP40" i="35"/>
  <c r="AP41" i="35"/>
  <c r="AP42" i="35"/>
  <c r="AP43" i="35"/>
  <c r="AP44" i="35"/>
  <c r="AP45" i="35"/>
  <c r="AP46" i="35"/>
  <c r="AP47" i="35"/>
  <c r="AP48" i="35"/>
  <c r="AP49" i="35"/>
  <c r="AP50" i="35"/>
  <c r="AP51" i="35"/>
  <c r="AO17" i="35"/>
  <c r="AO18" i="35"/>
  <c r="AO19" i="35"/>
  <c r="AO20" i="35"/>
  <c r="AO21" i="35"/>
  <c r="AO22" i="35"/>
  <c r="AO23" i="35"/>
  <c r="AO24" i="35"/>
  <c r="AO25" i="35"/>
  <c r="AO26" i="35"/>
  <c r="AO27" i="35"/>
  <c r="AO28" i="35"/>
  <c r="AO29" i="35"/>
  <c r="AO30" i="35"/>
  <c r="AO31" i="35"/>
  <c r="AO32" i="35"/>
  <c r="AO33" i="35"/>
  <c r="AO34" i="35"/>
  <c r="AO35" i="35"/>
  <c r="AO36" i="35"/>
  <c r="AO37" i="35"/>
  <c r="AO38" i="35"/>
  <c r="AO39" i="35"/>
  <c r="AO40" i="35"/>
  <c r="AO41" i="35"/>
  <c r="AO42" i="35"/>
  <c r="AO43" i="35"/>
  <c r="AO44" i="35"/>
  <c r="AO45" i="35"/>
  <c r="AO46" i="35"/>
  <c r="AO47" i="35"/>
  <c r="AO48" i="35"/>
  <c r="AO49" i="35"/>
  <c r="AO50" i="35"/>
  <c r="AO51" i="35"/>
  <c r="AN17" i="35"/>
  <c r="AN18" i="35"/>
  <c r="AN19" i="35"/>
  <c r="AN20" i="35"/>
  <c r="AN21" i="35"/>
  <c r="AN22" i="35"/>
  <c r="AN23" i="35"/>
  <c r="AN24" i="35"/>
  <c r="AN25" i="35"/>
  <c r="AN26" i="35"/>
  <c r="AN27" i="35"/>
  <c r="AN28" i="35"/>
  <c r="AN29" i="35"/>
  <c r="AN30" i="35"/>
  <c r="AN31" i="35"/>
  <c r="AN32" i="35"/>
  <c r="AN33" i="35"/>
  <c r="AN34" i="35"/>
  <c r="AN35" i="35"/>
  <c r="AN36" i="35"/>
  <c r="AN37" i="35"/>
  <c r="AN38" i="35"/>
  <c r="AN39" i="35"/>
  <c r="AN40" i="35"/>
  <c r="AN41" i="35"/>
  <c r="AN42" i="35"/>
  <c r="AN43" i="35"/>
  <c r="AN44" i="35"/>
  <c r="AN45" i="35"/>
  <c r="AN46" i="35"/>
  <c r="AN47" i="35"/>
  <c r="AN48" i="35"/>
  <c r="AN49" i="35"/>
  <c r="AN50" i="35"/>
  <c r="AN51" i="35"/>
  <c r="AM17" i="35"/>
  <c r="AM18" i="35"/>
  <c r="AM19" i="35"/>
  <c r="AM20" i="35"/>
  <c r="AM21" i="35"/>
  <c r="AM22" i="35"/>
  <c r="AM23" i="35"/>
  <c r="AM24" i="35"/>
  <c r="AM25" i="35"/>
  <c r="AM26" i="35"/>
  <c r="AM27" i="35"/>
  <c r="AM28" i="35"/>
  <c r="AM29" i="35"/>
  <c r="AM30" i="35"/>
  <c r="AM31" i="35"/>
  <c r="AM32" i="35"/>
  <c r="AM33" i="35"/>
  <c r="AM34" i="35"/>
  <c r="AM35" i="35"/>
  <c r="AM36" i="35"/>
  <c r="AM37" i="35"/>
  <c r="AM38" i="35"/>
  <c r="AM39" i="35"/>
  <c r="AM40" i="35"/>
  <c r="AM41" i="35"/>
  <c r="AM42" i="35"/>
  <c r="AM43" i="35"/>
  <c r="AM44" i="35"/>
  <c r="AM45" i="35"/>
  <c r="AM46" i="35"/>
  <c r="AM47" i="35"/>
  <c r="AM48" i="35"/>
  <c r="AM49" i="35"/>
  <c r="AM50" i="35"/>
  <c r="AM51" i="35"/>
  <c r="AL17" i="35"/>
  <c r="AL18" i="35"/>
  <c r="AL19" i="35"/>
  <c r="AL20" i="35"/>
  <c r="AL21" i="35"/>
  <c r="AL22" i="35"/>
  <c r="AL23" i="35"/>
  <c r="AL24" i="35"/>
  <c r="AL25" i="35"/>
  <c r="AL26" i="35"/>
  <c r="AL27" i="35"/>
  <c r="AL28" i="35"/>
  <c r="AL29" i="35"/>
  <c r="AL30" i="35"/>
  <c r="AL31" i="35"/>
  <c r="AL32" i="35"/>
  <c r="AL33" i="35"/>
  <c r="AL34" i="35"/>
  <c r="AL35" i="35"/>
  <c r="AL36" i="35"/>
  <c r="AL37" i="35"/>
  <c r="AL38" i="35"/>
  <c r="AL39" i="35"/>
  <c r="AL40" i="35"/>
  <c r="AL41" i="35"/>
  <c r="AL42" i="35"/>
  <c r="AL43" i="35"/>
  <c r="AL44" i="35"/>
  <c r="AL45" i="35"/>
  <c r="AL46" i="35"/>
  <c r="AL47" i="35"/>
  <c r="AL48" i="35"/>
  <c r="AL49" i="35"/>
  <c r="AL50" i="35"/>
  <c r="AL51" i="35"/>
  <c r="AK17" i="35"/>
  <c r="AK18" i="35"/>
  <c r="AK19" i="35"/>
  <c r="AK20" i="35"/>
  <c r="AK21" i="35"/>
  <c r="AK22" i="35"/>
  <c r="AK23" i="35"/>
  <c r="AK24" i="35"/>
  <c r="AK25" i="35"/>
  <c r="AK26" i="35"/>
  <c r="AK27" i="35"/>
  <c r="AK28" i="35"/>
  <c r="AK29" i="35"/>
  <c r="AK30" i="35"/>
  <c r="AK31" i="35"/>
  <c r="AK32" i="35"/>
  <c r="AK33" i="35"/>
  <c r="AK34" i="35"/>
  <c r="AK35" i="35"/>
  <c r="AK36" i="35"/>
  <c r="AK37" i="35"/>
  <c r="AK38" i="35"/>
  <c r="AK39" i="35"/>
  <c r="AK40" i="35"/>
  <c r="AK41" i="35"/>
  <c r="AK42" i="35"/>
  <c r="AK43" i="35"/>
  <c r="AK44" i="35"/>
  <c r="AK45" i="35"/>
  <c r="AK46" i="35"/>
  <c r="AK47" i="35"/>
  <c r="AK48" i="35"/>
  <c r="AK49" i="35"/>
  <c r="AK50" i="35"/>
  <c r="AK51" i="35"/>
  <c r="AJ17" i="35"/>
  <c r="AJ18" i="35"/>
  <c r="AJ19" i="35"/>
  <c r="AJ20" i="35"/>
  <c r="AJ21" i="35"/>
  <c r="AJ22" i="35"/>
  <c r="AJ23" i="35"/>
  <c r="AJ24" i="35"/>
  <c r="AJ25" i="35"/>
  <c r="AJ26" i="35"/>
  <c r="AJ27" i="35"/>
  <c r="AJ28" i="35"/>
  <c r="AJ29" i="35"/>
  <c r="AJ30" i="35"/>
  <c r="AJ31" i="35"/>
  <c r="AJ32" i="35"/>
  <c r="AJ33" i="35"/>
  <c r="AJ34" i="35"/>
  <c r="AJ35" i="35"/>
  <c r="AJ36" i="35"/>
  <c r="AJ37" i="35"/>
  <c r="AJ38" i="35"/>
  <c r="AJ39" i="35"/>
  <c r="AJ40" i="35"/>
  <c r="AJ41" i="35"/>
  <c r="AJ42" i="35"/>
  <c r="AJ43" i="35"/>
  <c r="AJ44" i="35"/>
  <c r="AJ45" i="35"/>
  <c r="AJ46" i="35"/>
  <c r="AJ47" i="35"/>
  <c r="AJ48" i="35"/>
  <c r="AJ49" i="35"/>
  <c r="AJ50" i="35"/>
  <c r="AJ51" i="35"/>
  <c r="AI17" i="35"/>
  <c r="AI18" i="35"/>
  <c r="AI19" i="35"/>
  <c r="AI20" i="35"/>
  <c r="AI21" i="35"/>
  <c r="AI22" i="35"/>
  <c r="AI23" i="35"/>
  <c r="AI24" i="35"/>
  <c r="AI25" i="35"/>
  <c r="AI26" i="35"/>
  <c r="AI27" i="35"/>
  <c r="AI28" i="35"/>
  <c r="AI29" i="35"/>
  <c r="AI30" i="35"/>
  <c r="AI31" i="35"/>
  <c r="AI32" i="35"/>
  <c r="AI33" i="35"/>
  <c r="AI34" i="35"/>
  <c r="AI35" i="35"/>
  <c r="AI36" i="35"/>
  <c r="AI37" i="35"/>
  <c r="AI38" i="35"/>
  <c r="AI39" i="35"/>
  <c r="AI40" i="35"/>
  <c r="AI41" i="35"/>
  <c r="AI42" i="35"/>
  <c r="AI43" i="35"/>
  <c r="AI44" i="35"/>
  <c r="AI45" i="35"/>
  <c r="AI46" i="35"/>
  <c r="AI47" i="35"/>
  <c r="AI48" i="35"/>
  <c r="AI49" i="35"/>
  <c r="AI50" i="35"/>
  <c r="AI51" i="35"/>
  <c r="AH17" i="35"/>
  <c r="AH18" i="35"/>
  <c r="AH19" i="35"/>
  <c r="AH20" i="35"/>
  <c r="AH21" i="35"/>
  <c r="AH22" i="35"/>
  <c r="AH23" i="35"/>
  <c r="AH24" i="35"/>
  <c r="AH25" i="35"/>
  <c r="AH26" i="35"/>
  <c r="AH27" i="35"/>
  <c r="AH28" i="35"/>
  <c r="AH29" i="35"/>
  <c r="AH30" i="35"/>
  <c r="AH31" i="35"/>
  <c r="AH32" i="35"/>
  <c r="AH33" i="35"/>
  <c r="AH34" i="35"/>
  <c r="AH35" i="35"/>
  <c r="AH36" i="35"/>
  <c r="AH37" i="35"/>
  <c r="AH38" i="35"/>
  <c r="AH39" i="35"/>
  <c r="AH40" i="35"/>
  <c r="AH41" i="35"/>
  <c r="AH42" i="35"/>
  <c r="AH43" i="35"/>
  <c r="AH44" i="35"/>
  <c r="AH45" i="35"/>
  <c r="AH46" i="35"/>
  <c r="AH47" i="35"/>
  <c r="AH48" i="35"/>
  <c r="AH49" i="35"/>
  <c r="AH50" i="35"/>
  <c r="AH51" i="35"/>
  <c r="AH52" i="35" l="1"/>
  <c r="AI52" i="35"/>
  <c r="AJ52" i="35"/>
  <c r="AK52" i="35"/>
  <c r="AL52" i="35"/>
  <c r="AM52" i="35"/>
  <c r="AN52" i="35"/>
  <c r="AO52" i="35"/>
  <c r="AP52" i="35"/>
  <c r="AQ52" i="35"/>
  <c r="AR52" i="35"/>
  <c r="AS52" i="35"/>
  <c r="AT52" i="35"/>
  <c r="AU52" i="35"/>
  <c r="AV52" i="35"/>
  <c r="AW52" i="35"/>
  <c r="AX52" i="35"/>
  <c r="AY52" i="35"/>
  <c r="AZ52" i="35"/>
  <c r="BA52" i="35"/>
  <c r="AG17" i="35"/>
  <c r="AG18" i="35"/>
  <c r="AG19" i="35"/>
  <c r="AG20" i="35"/>
  <c r="AG21" i="35"/>
  <c r="AG22" i="35"/>
  <c r="AG23" i="35"/>
  <c r="AG24" i="35"/>
  <c r="AG25" i="35"/>
  <c r="AG26" i="35"/>
  <c r="AG27" i="35"/>
  <c r="AG28" i="35"/>
  <c r="AG29" i="35"/>
  <c r="AG30" i="35"/>
  <c r="AG31" i="35"/>
  <c r="AG32" i="35"/>
  <c r="AG33" i="35"/>
  <c r="AG34" i="35"/>
  <c r="AG35" i="35"/>
  <c r="AG36" i="35"/>
  <c r="AG37" i="35"/>
  <c r="AG38" i="35"/>
  <c r="AG39" i="35"/>
  <c r="AG40" i="35"/>
  <c r="AG41" i="35"/>
  <c r="AG42" i="35"/>
  <c r="AG43" i="35"/>
  <c r="AG44" i="35"/>
  <c r="AG45" i="35"/>
  <c r="AG46" i="35"/>
  <c r="AG47" i="35"/>
  <c r="AG48" i="35"/>
  <c r="AG49" i="35"/>
  <c r="AG50" i="35"/>
  <c r="AG51" i="35"/>
  <c r="AG52" i="35" l="1"/>
  <c r="BB51" i="35" l="1"/>
  <c r="BB50" i="35"/>
  <c r="BB49" i="35"/>
  <c r="BB48" i="35"/>
  <c r="BB47" i="35"/>
  <c r="BB46" i="35"/>
  <c r="BB45" i="35"/>
  <c r="BB44" i="35"/>
  <c r="BB43" i="35"/>
  <c r="BB42" i="35"/>
  <c r="BB41" i="35"/>
  <c r="BB40" i="35"/>
  <c r="BB39" i="35"/>
  <c r="BB38" i="35"/>
  <c r="BB37" i="35"/>
  <c r="BB36" i="35"/>
  <c r="BB35" i="35"/>
  <c r="BB34" i="35"/>
  <c r="BB33" i="35"/>
  <c r="BB32" i="35"/>
  <c r="BB31" i="35"/>
  <c r="BB30" i="35"/>
  <c r="BB29" i="35"/>
  <c r="BB28" i="35"/>
  <c r="BB27" i="35"/>
  <c r="BB26" i="35"/>
  <c r="BB25" i="35"/>
  <c r="BB24" i="35"/>
  <c r="BB23" i="35"/>
  <c r="BB22" i="35"/>
  <c r="BB21" i="35"/>
  <c r="BB20" i="35"/>
  <c r="BB19" i="35"/>
  <c r="BB18" i="35" l="1"/>
  <c r="BB17" i="35"/>
</calcChain>
</file>

<file path=xl/sharedStrings.xml><?xml version="1.0" encoding="utf-8"?>
<sst xmlns="http://schemas.openxmlformats.org/spreadsheetml/2006/main" count="2224" uniqueCount="1514">
  <si>
    <t>Ligand</t>
    <phoneticPr fontId="3"/>
  </si>
  <si>
    <t>PDB</t>
    <phoneticPr fontId="3"/>
  </si>
  <si>
    <t>Target Protein</t>
    <phoneticPr fontId="3"/>
  </si>
  <si>
    <t>Adaptation Diseases</t>
    <phoneticPr fontId="3"/>
  </si>
  <si>
    <t>UniProt</t>
    <phoneticPr fontId="3"/>
  </si>
  <si>
    <t>TNFα</t>
  </si>
  <si>
    <t>CD80</t>
  </si>
  <si>
    <t>CD80, CD86</t>
  </si>
  <si>
    <t>P33681, P42081</t>
  </si>
  <si>
    <t>3WD5, 4NYL</t>
  </si>
  <si>
    <t>P15391, P04234</t>
  </si>
  <si>
    <t>4G5Z, 4G6J, 4G6K</t>
  </si>
  <si>
    <t>EpCAM, CD3</t>
  </si>
  <si>
    <t>Head and neck cancer, Colorectal cancer</t>
  </si>
  <si>
    <t>3NFS, 3NFP</t>
  </si>
  <si>
    <t>3EO9, 3EOA, 3EOB, 3JW3, 3JW5, 3JVX, 3JWC, 3JWF, 3JWK, 3JWM</t>
  </si>
  <si>
    <t>4G3Y, 3WD5</t>
  </si>
  <si>
    <t>P12319, Q01362</t>
  </si>
  <si>
    <t>4X7T, 4X7S, 2XA7, 2XA7</t>
  </si>
  <si>
    <t>Her2-positive inoperable cancer, Recurrent breast cancer</t>
  </si>
  <si>
    <t>1S78, 4LLU, 4LLW, 4LLY, 4YDV, 4PUB, 4OGX, 4OGY, 4OQT, 3N85</t>
  </si>
  <si>
    <t>4KAQ, 2OSL, 1L6X, 2IWG, 2WAH, 4ACP, 4B71, 2J6E</t>
  </si>
  <si>
    <t>4HJG, 4IOI, 4HKZ, 1S78</t>
  </si>
  <si>
    <t>3HMW, 3HMX</t>
  </si>
  <si>
    <t>P13612, P26010</t>
  </si>
  <si>
    <t>denosumab</t>
  </si>
  <si>
    <t>abciximab</t>
  </si>
  <si>
    <t>Myocardial ischemia</t>
  </si>
  <si>
    <t>adalimumab</t>
  </si>
  <si>
    <t>alefacept</t>
  </si>
  <si>
    <t>alemtuzumab</t>
  </si>
  <si>
    <t>Colorectal cancer</t>
  </si>
  <si>
    <t>efalizumab</t>
  </si>
  <si>
    <t>etanercept</t>
  </si>
  <si>
    <t>CD20</t>
  </si>
  <si>
    <t>muromonab-CD3</t>
  </si>
  <si>
    <t>CD3</t>
  </si>
  <si>
    <t>HER2</t>
  </si>
  <si>
    <t>EGFR</t>
  </si>
  <si>
    <t>natalizumab</t>
  </si>
  <si>
    <t>tositumomab</t>
  </si>
  <si>
    <t>golimumab</t>
  </si>
  <si>
    <t>infliximab</t>
  </si>
  <si>
    <t>rilonacept</t>
  </si>
  <si>
    <t>IL-1β</t>
  </si>
  <si>
    <t>blinatumomab</t>
  </si>
  <si>
    <t>P04626</t>
  </si>
  <si>
    <t>silutuximab</t>
  </si>
  <si>
    <t>IL-6R</t>
  </si>
  <si>
    <t>obinutuzumab</t>
  </si>
  <si>
    <t>P11836</t>
  </si>
  <si>
    <t>vedolizumab</t>
  </si>
  <si>
    <t>aflibercept</t>
  </si>
  <si>
    <t>VEGF-A</t>
  </si>
  <si>
    <t>belatacept</t>
  </si>
  <si>
    <t>belimumab</t>
  </si>
  <si>
    <t>nivolumab</t>
  </si>
  <si>
    <t>PD-1</t>
  </si>
  <si>
    <t>Q15116</t>
  </si>
  <si>
    <t>CD86</t>
  </si>
  <si>
    <t>Malignant tumor</t>
  </si>
  <si>
    <t>phosphatidylserine</t>
  </si>
  <si>
    <t>Muscle wasting</t>
  </si>
  <si>
    <t>activin receptor type-2A inhibitor, activin receptor type-2B inhibitor</t>
  </si>
  <si>
    <t>Hodgkin's lymphoma, CD30-positive hematologic malignancies</t>
  </si>
  <si>
    <t>Inflammatory disease</t>
  </si>
  <si>
    <t>Muckle-wells syndrome, Rheumatoid arthritis</t>
  </si>
  <si>
    <t>All forms of osteoporosis or bone loss</t>
  </si>
  <si>
    <t>Transplant rejections, Pruritic</t>
  </si>
  <si>
    <t>C. albicans infection</t>
  </si>
  <si>
    <t>fungal HSP90</t>
  </si>
  <si>
    <t>Inflammatory bowel disease</t>
  </si>
  <si>
    <t>Hyperlipidemia</t>
  </si>
  <si>
    <t>PCSK9 inhibitor</t>
  </si>
  <si>
    <t>Alzheimer's disease</t>
  </si>
  <si>
    <t>β-amyloid</t>
  </si>
  <si>
    <t>Relapsed and acute myelogenous leukemia</t>
  </si>
  <si>
    <t>Diabetes, Inflammatory disorders</t>
  </si>
  <si>
    <t>Inflammatory disorders, Rheumatoid arthritis, Uveitis, asthma, Crohn's disease</t>
  </si>
  <si>
    <t>Inflammatory diseases, Psoriasis</t>
  </si>
  <si>
    <t>Metastatic melanoma</t>
  </si>
  <si>
    <t>Oncology disease and HIV infection, Malignant melanoma</t>
  </si>
  <si>
    <t>Age-related macular degeneration</t>
  </si>
  <si>
    <t>Chronic lymphocytic leukemia</t>
  </si>
  <si>
    <t>Atopic disease</t>
  </si>
  <si>
    <t>ALS, Maultiple sclerosis</t>
  </si>
  <si>
    <t>Nogo-A protein</t>
  </si>
  <si>
    <t>Cancer and Infectious diseases</t>
  </si>
  <si>
    <t>Solid tumors</t>
  </si>
  <si>
    <t>Bronchial asthma</t>
  </si>
  <si>
    <t>Anthrax infection</t>
  </si>
  <si>
    <t>Osteoporosis</t>
  </si>
  <si>
    <t>SLE, Dermatomyositis, Polymyositis</t>
  </si>
  <si>
    <t>Rheumatoid arthritis</t>
  </si>
  <si>
    <t>Diabetic foot ulcer, Osteomyelitis (bone infection)</t>
  </si>
  <si>
    <t>Autoimmune diseases, B cell malignancies</t>
  </si>
  <si>
    <t>Non-Hodgkin's lymphoma</t>
  </si>
  <si>
    <t>Asthma, Inflammatory diseases</t>
  </si>
  <si>
    <t>Melanoma</t>
  </si>
  <si>
    <t>Ulcerative colitis, Crohn's disease</t>
  </si>
  <si>
    <t>Pancreatic cancer</t>
  </si>
  <si>
    <t>Asthma</t>
  </si>
  <si>
    <t>romiplostim</t>
  </si>
  <si>
    <t>TPOR</t>
  </si>
  <si>
    <t>immune thrombo-cytopenic purpura</t>
  </si>
  <si>
    <t>Cancer</t>
  </si>
  <si>
    <t>raxibacumab</t>
  </si>
  <si>
    <t>catumaxomab</t>
  </si>
  <si>
    <t>Acute rejection after renal transplantation</t>
  </si>
  <si>
    <t>Organ rejection after a kidney transplant</t>
  </si>
  <si>
    <t>P05106, P08514</t>
  </si>
  <si>
    <t>P04234, P07766, P09693, P20963</t>
  </si>
  <si>
    <t>besilesomab</t>
  </si>
  <si>
    <t>NCA-95</t>
  </si>
  <si>
    <t>P31997</t>
  </si>
  <si>
    <t>P40238</t>
  </si>
  <si>
    <t>dinutuximab</t>
  </si>
  <si>
    <t>GD2</t>
  </si>
  <si>
    <t>Neuroblastoma</t>
  </si>
  <si>
    <t>DB09077</t>
  </si>
  <si>
    <t>Q00973</t>
  </si>
  <si>
    <t>capromab</t>
  </si>
  <si>
    <t>PCSK9</t>
  </si>
  <si>
    <t>http://www.ablynx.com/rd-portfolio/clinical-programmes/alx-0061/</t>
  </si>
  <si>
    <t>IgG1</t>
  </si>
  <si>
    <t>http://www.morphotek.com/pipeline/Amatuximab.aspx</t>
  </si>
  <si>
    <t>W</t>
    <phoneticPr fontId="3"/>
  </si>
  <si>
    <t>http://www.roche.com/media/store/releases/med-cor-2015-08-17.htm</t>
  </si>
  <si>
    <t>PD-L1</t>
  </si>
  <si>
    <t>bapineuzumab</t>
  </si>
  <si>
    <t>crenezumab</t>
  </si>
  <si>
    <t>daratumumab</t>
  </si>
  <si>
    <t>Approved or not</t>
    <phoneticPr fontId="3"/>
  </si>
  <si>
    <t>Source</t>
    <phoneticPr fontId="3"/>
  </si>
  <si>
    <t>PMDA</t>
    <phoneticPr fontId="3"/>
  </si>
  <si>
    <t>FDA</t>
    <phoneticPr fontId="3"/>
  </si>
  <si>
    <t>EMA</t>
    <phoneticPr fontId="3"/>
  </si>
  <si>
    <t>Multiple myeloma</t>
  </si>
  <si>
    <t>Head and neck cancer, Non-small cell lung cancer</t>
  </si>
  <si>
    <t>epratuzumab</t>
  </si>
  <si>
    <t>Acute lymphoblastic leukaemia, Systemic lupus erythematosus</t>
  </si>
  <si>
    <t>Acute lymphoblastic leukaemia</t>
  </si>
  <si>
    <t>Malignant melanoma, Pulmonary fibrosis, Renal cancer</t>
  </si>
  <si>
    <t>Suspended Renal cancer</t>
  </si>
  <si>
    <t>CAIX</t>
  </si>
  <si>
    <t>Amyloidosis</t>
  </si>
  <si>
    <t>Serum amyloid P</t>
  </si>
  <si>
    <t>Ovarian cancer</t>
  </si>
  <si>
    <t xml:space="preserve">NK cell lectin-like receptor subfamily C </t>
  </si>
  <si>
    <t>Head and neck cancer</t>
  </si>
  <si>
    <t>NaPi2b</t>
  </si>
  <si>
    <t>Haematological malignancies, Multiple myeloma</t>
  </si>
  <si>
    <t>Systemic lupus erythematosus</t>
  </si>
  <si>
    <t>Cachexia, Colorectal cancer</t>
  </si>
  <si>
    <t xml:space="preserve">Breast cancer </t>
  </si>
  <si>
    <t>Neuromyelitis optica</t>
  </si>
  <si>
    <t>Malignant melanoma, Small cell lung cancer</t>
  </si>
  <si>
    <t>Non-small cell lung cancer</t>
  </si>
  <si>
    <t>Gastric cancer, Ovarian cancer</t>
  </si>
  <si>
    <t>large B cell lymphoma, Non-Hodgkin's lymphoma</t>
  </si>
  <si>
    <t>NeuGcGM3</t>
  </si>
  <si>
    <t>http://www.vaxira.com/eng/vaxira.php</t>
  </si>
  <si>
    <t xml:space="preserve">Hepatic fibrosis, Idiopathic pulmonary fibrosis, Liver cirrhosis, Non-alcoholic steatohepatitis, Primary sclerosing cholangitis </t>
  </si>
  <si>
    <t>Back pain, Cancer pain, Musculoskeletal pain, Pain</t>
  </si>
  <si>
    <t>Plaque psoriasis</t>
  </si>
  <si>
    <t>CTAA16.88</t>
  </si>
  <si>
    <t>tilmanocept</t>
  </si>
  <si>
    <t>Breast cancer, Head and neck cancer, Malignant melanoma</t>
  </si>
  <si>
    <t>Cation transport protein</t>
  </si>
  <si>
    <t>https://www.clinicaltrials.gov/ct2/show/NCT02411084</t>
  </si>
  <si>
    <t>https://www.astrazeneca.com/our-company/media-centre/press-releases/2014/benralizumab-study-lancet-respiratory-medicine-08092014.html</t>
  </si>
  <si>
    <t>http://www.roche.com/investors/updates/inv-update-2014-07-16.htm</t>
  </si>
  <si>
    <t>http://www.oncomed.com/Pipeline.html</t>
  </si>
  <si>
    <t>http://jco.ascopubs.org/content/29/23/3146.abstract</t>
  </si>
  <si>
    <t>http://www.ucb.com/presscenter/News/article/UCB-announces-Phase-3-clinical-trial-program-for-epratuzumab-in-Systemic-Lupus-Erythematosus-did-not-meet-primary-endpoint-nbsp</t>
  </si>
  <si>
    <t>http://onlinelibrary.wiley.com/doi/10.1002/cncr.24821/full</t>
  </si>
  <si>
    <t>http://www.thelancet.com/journals/lancet/article/PIIS0140-6736(14)60661-9/abstract</t>
  </si>
  <si>
    <t>http://www.ncbi.nlm.nih.gov/pubmed/21368745</t>
  </si>
  <si>
    <t>https://clinicaltrials.gov/show/NCT01253668</t>
  </si>
  <si>
    <t>http://www.investor.jnj.com/releaseDetail.cfm?releaseid=835041</t>
  </si>
  <si>
    <t>http://press.pfizer.com/press-release/pfizer-discontinues-phase-3-study-inotuzumab-ozogamicin-relapsed-or-refractory-aggress</t>
  </si>
  <si>
    <t>https://www.astrazeneca.com/our-company/media-centre/press-releases/2015/astrazeneca-innate-pharma-global-collaboration-immuno-oncology-24042015.html</t>
  </si>
  <si>
    <t>MEDI4736</t>
  </si>
  <si>
    <t>http://investor.seattlegenetics.com/phoenix.zhtml?c=124860&amp;p=irol-newsArticle&amp;ID=1470001</t>
  </si>
  <si>
    <t>http://www.thelancet.com/journals/lanonc/article/PIIS1470-2045(14)70155-X/fulltext</t>
  </si>
  <si>
    <t>http://www.macrogenics.com/products-margetuximab.html</t>
  </si>
  <si>
    <t>http://www.ncbi.nlm.nih.gov/pubmed/23234647</t>
  </si>
  <si>
    <t>http://www.immunomedics.com/milatuzumab.shtml</t>
  </si>
  <si>
    <t>https://www.lilly.co.jp/pressrelease/2014/news_2014_012.aspx</t>
  </si>
  <si>
    <t>http://www.roche.com/investors/updates/inv-update-2010-05-19.htm</t>
  </si>
  <si>
    <t>http://investors.merrimack.com/releasedetail.cfm?releaseid=887436</t>
  </si>
  <si>
    <t>http://acrabstracts.org/abstract/safety-and-efficacy-of-sifalimumab-an-anti-ifn-alpha-monoclonal-antibody-in-a-phase-2b-study-of-moderate-to-severe-systemic-lupus-erythematosus-sle/</t>
  </si>
  <si>
    <t>http://www.gilead.com/news/press-releases/2014/9/gilead-announces-data-from-phase-2-study-of-simtuzumab-for-previously-untreated-pancreatic-cancer</t>
  </si>
  <si>
    <t>http://www.bioworld.com/content/sirukumab-enters-phase-iii-rheumatoid-arthritis-study-0</t>
  </si>
  <si>
    <t>http://www.alzforum.org/therapeutics/solanezumab</t>
  </si>
  <si>
    <t>http://www.immunomedics.com/veltuzumab.shtml</t>
  </si>
  <si>
    <t>http://www.immunomedics.com/clivatuzumab.shtml</t>
  </si>
  <si>
    <t>status</t>
    <phoneticPr fontId="3"/>
  </si>
  <si>
    <t>http://www.xoma.com/content/pipeline/gevokizumab.htm</t>
  </si>
  <si>
    <t>http://www.ncbi.nlm.nih.gov/pubmed/12296858</t>
  </si>
  <si>
    <t>http://en.sanofi.com/Images/33844_20130917_EU-LEMTRADA_en.pdf</t>
  </si>
  <si>
    <t>http://www.medscape.com/viewarticle/744723</t>
  </si>
  <si>
    <t>http://www.ncbi.nlm.nih.gov/pmc/articles/PMC3277870/</t>
  </si>
  <si>
    <t>http://www.seattlegenetics.com/brentuximab_vedotin</t>
  </si>
  <si>
    <t>http://www.prnewswire.com/news-releases/cimzia-certolizumab-pegol-approved-by-fda-for-treatment-of-adults-with-active-ankylosing-spondylitis-228312901.html</t>
  </si>
  <si>
    <t>http://www.nature.com/nrd/journal/v3/n6/full/nrd1420.html</t>
  </si>
  <si>
    <t>http://www.ccfa.org/news/simponi.html</t>
  </si>
  <si>
    <t>http://www.centerwatch.com/drug-information/fda-approved-drugs/drug/762/zevalin-ibritumomab-tiuxetan</t>
  </si>
  <si>
    <t>http://www.aetna.com/cpb/medical/data/800_899/0815.html</t>
  </si>
  <si>
    <t>http://blog.aacr.org/fda-approval-nivolumab/</t>
  </si>
  <si>
    <t>http://www.gene.com/media/press-releases/14487/2013-07-02/fda-grants-genentechs-obinutuzumab-ga101</t>
  </si>
  <si>
    <t>http://www.fda.gov/downloads/AdvisoryCommittees/CommitteesMeetingMaterials/Drugs/AntiviralDrugsAdvisoryCommittee/UCM248473.pdf</t>
  </si>
  <si>
    <t>http://www.ascopost.com/ViewNews.aspx?nid=8536</t>
  </si>
  <si>
    <t>http://www.cancer.gov/about-cancer/treatment/drugs/fda-ramucirumab</t>
  </si>
  <si>
    <t>http://www.medscape.com/viewarticle/763520</t>
  </si>
  <si>
    <t>http://www.drugdevelopment-technology.com/projects/actemra/</t>
  </si>
  <si>
    <t>http://www.gene.com/media/product-information/herceptin-development-timeline</t>
  </si>
  <si>
    <t>http://mcgs.bcbsfl.com/?doc=Ustekinumab%20(Stelara%20TM)</t>
  </si>
  <si>
    <t>http://www.ema.europa.eu/docs/en_GB/document_library/EPAR_-_Public_assessment_report/human/000658/WC500070523.pdf</t>
  </si>
  <si>
    <t>https://www.astellas.com/jp/corporate/news/pdf/141125_j_news.pdf</t>
  </si>
  <si>
    <t>http://www.ema.europa.eu/docs/en_GB/document_library/EPAR_-_Scientific_Discussion/human/000111/WC500036473.pdf</t>
  </si>
  <si>
    <t>https://www.boehringer-ingelheim.com/news/news_releases/press_releases/2015/19_october_2015_dabigatranetexilate.html</t>
  </si>
  <si>
    <t>http://www.ncbi.nlm.nih.gov/pmc/articles/PMC3126006/</t>
  </si>
  <si>
    <t>Breast cancer</t>
  </si>
  <si>
    <t>Graft-versus-host disease</t>
  </si>
  <si>
    <t>Hodgkin's lymphoma</t>
  </si>
  <si>
    <t>Psoriasis</t>
  </si>
  <si>
    <t>Lymphoma</t>
  </si>
  <si>
    <t>AD</t>
  </si>
  <si>
    <t>interferon pathway</t>
  </si>
  <si>
    <t>nimotuzumab</t>
  </si>
  <si>
    <t>sulesomab</t>
  </si>
  <si>
    <t>Muckle-wells syndrome</t>
  </si>
  <si>
    <t>Allograft rejection</t>
  </si>
  <si>
    <t>Idiopathic arthritis</t>
  </si>
  <si>
    <t>Pruritic</t>
  </si>
  <si>
    <t>Transplant rejections</t>
  </si>
  <si>
    <t>Ulcerative colitis</t>
  </si>
  <si>
    <t>Remarks</t>
    <phoneticPr fontId="3"/>
  </si>
  <si>
    <t>http://www.medscape.com/viewarticle/828944</t>
  </si>
  <si>
    <t>https://clinicaltrials.gov/ct2/show/NCT02535078</t>
  </si>
  <si>
    <t>http://jco.ascopubs.org/content/23/27/6763.full.pdf</t>
  </si>
  <si>
    <t>http://www.alzforum.org/therapeutics/ly3002813</t>
  </si>
  <si>
    <t>http://www.ema.europa.eu/docs/en_GB/document_library/Public_statement/2009/12/WC500018374.pdf</t>
  </si>
  <si>
    <t>http://www.jcancer.org/v02p0309.htm</t>
  </si>
  <si>
    <t>Plaque psoriasis, Psoriatic arthritis</t>
  </si>
  <si>
    <t>Cell adhesion molecules (CAMs), Toll-like receptor signaling pathway, Intestinal immune network for IgA production, Rheumatoid arthritis</t>
  </si>
  <si>
    <t>Focal adhesion, ECM-receptor interaction</t>
  </si>
  <si>
    <t>MAPK signaling pathway, Cytokine-cytokine receptor interaction, Apoptosis, TGF-beta signaling pathway, Antigen processing and presentation, Natural killer cell mediated cytotoxicity, Rheumatoid arthritis</t>
  </si>
  <si>
    <t>Cytokine-cytokine receptor interaction, VEGF signaling pathway, Pathways in cancer</t>
  </si>
  <si>
    <t>Cell adhesion molecules (CAMs)</t>
  </si>
  <si>
    <t>Cytokine-cytokine receptor interaction, Endocytosis, Jak-STAT signaling pathway, Hematopoietic cell lineage</t>
  </si>
  <si>
    <t>Cell adhesion molecules (CAMs), T cell receptor signaling pathway, Rheumatoid arthritis</t>
  </si>
  <si>
    <t>Cytokine-cytokine receptor interaction, Rheumatoid arthritis</t>
  </si>
  <si>
    <t>Cytokine-cytokine receptor interaction, Jak-STAT signaling pathway</t>
  </si>
  <si>
    <t>Cytokine-cytokine receptor interaction, mTOR signaling pathway, VEGF signaling pathway, Pathways in cancer</t>
  </si>
  <si>
    <t>T cell receptor signaling pathway, B cell receptor signaling pathway</t>
  </si>
  <si>
    <t>Cytokine-cytokine receptor interaction</t>
  </si>
  <si>
    <t>MAPK signaling pathway, Cytokine-cytokine receptor interaction, NOD-like receptor signaling pathway</t>
  </si>
  <si>
    <t>Hematopoietic cell lineage, T cell receptor signaling pathway</t>
  </si>
  <si>
    <t>MAPK signaling pathway, Cytokine-cytokine receptor interaction, Apoptosis, TGF-beta signaling pathway, Antigen processing and presentation, Toll-like receptor signaling pathway, Natural killer cell mediated cytotoxicity, Adipocytokine signaling pathway, Rheumatoid arthritis</t>
  </si>
  <si>
    <t>MAPK signaling pathway, ErbB signaling pathway, Calcium signaling pathway, Cytokine-cytokine receptor interaction, Pathways in cancer</t>
  </si>
  <si>
    <t>Apoptosis</t>
  </si>
  <si>
    <t>Notch signaling pathway</t>
  </si>
  <si>
    <t>Cytokine-cytokine receptor interaction, Osteoclast differentiation</t>
  </si>
  <si>
    <t>Cytokine-cytokine receptor interaction, PI3K-Akt signaling pathway, Jak-STAT signaling pathway, Hematopoietic cell lineage</t>
  </si>
  <si>
    <t>Proteoglycans in cancer</t>
  </si>
  <si>
    <t>Complement and coagulation cascades</t>
  </si>
  <si>
    <t>Focal adhesion, ECM-receptor interaction, Regulation of actin cytoskeleton</t>
  </si>
  <si>
    <t>Focal adhesion, ECM-receptor interaction, Cell adhesion molecules (CAMs)</t>
  </si>
  <si>
    <t>Hematopoietic cell lineage</t>
  </si>
  <si>
    <t>MAPK signaling pathway, Cytokine-cytokine receptor interaction, Apoptosis, TGF-beta signaling pathway, Osteoclast differentiation, Antigen processing and presentation, Adipocytokine signaling pathway, Rheumatoid arthritis</t>
  </si>
  <si>
    <t>Cell adhesion molecules (CAMs), B cell receptor signaling pathway</t>
  </si>
  <si>
    <t>Cytokine-cytokine receptor interaction, Jak-STAT signaling pathway, Asthma</t>
  </si>
  <si>
    <t>Antigen processing and presentation</t>
  </si>
  <si>
    <t>Cytokine-cytokine receptor interaction, Chemokine signaling pathway</t>
  </si>
  <si>
    <t>T cell receptor signaling pathway</t>
  </si>
  <si>
    <t>HIF-1 signaling pathway, PI3K-Akt signaling pathway</t>
  </si>
  <si>
    <t>Fc epsilon RI signaling pathway, Asthma</t>
  </si>
  <si>
    <t>ErbB signaling pathway, Calcium signaling pathway, Focal adhesion, Adherens junction</t>
  </si>
  <si>
    <t>Cytokine-cytokine receptor interaction, VEGF signaling pathway, Focal adhesion</t>
  </si>
  <si>
    <t>Cytokine-cytokine receptor interaction, VEGF signaling pathway</t>
  </si>
  <si>
    <t>NOD-like receptor signaling pathway</t>
  </si>
  <si>
    <t>MAPK signaling pathway, Cytokine-cytokine receptor interaction, Apoptosis, Toll-like receptor signaling pathway, NOD-like receptor signaling pathway</t>
  </si>
  <si>
    <t>Cytokine-cytokine receptor interaction, Focal adhesion, Pathways in cancer</t>
  </si>
  <si>
    <t>Wnt signaling pathway</t>
  </si>
  <si>
    <t>Cytokine-cytokine receptor interaction, Regulation of autophagy</t>
  </si>
  <si>
    <t>MAPK signaling pathway, Apoptosis, Neurotrophin signaling pathway</t>
  </si>
  <si>
    <t>Cytokine-cytokine receptor interaction, Jak-STAT signaling pathway, Hematopoietic cell lineage</t>
  </si>
  <si>
    <t>ErbB signaling pathway, Focal adhesion, Adherens junction, Pathways in cancer</t>
  </si>
  <si>
    <t>ErbB signaling pathway, Calcium signaling pathway, Focal adhesion, Adherens junction, Pathways in cancer</t>
  </si>
  <si>
    <t>Cell adhesion molecules (CAMs), T cell receptor signaling pathway</t>
  </si>
  <si>
    <t>ECM-receptor interaction, Cell adhesion molecules (CAMs)</t>
  </si>
  <si>
    <t>Pathway</t>
    <phoneticPr fontId="3"/>
  </si>
  <si>
    <t>ID</t>
    <phoneticPr fontId="3"/>
  </si>
  <si>
    <t>DrugBank</t>
    <phoneticPr fontId="3"/>
  </si>
  <si>
    <t>Crohn's disease</t>
  </si>
  <si>
    <t>PTCL</t>
  </si>
  <si>
    <t>CTCL</t>
  </si>
  <si>
    <t>PML</t>
  </si>
  <si>
    <t>CAPS</t>
  </si>
  <si>
    <t>Rheumatoid arthritis, Idiopathic arthritis</t>
  </si>
  <si>
    <t>Rheumatoid arthritis, Systemic lupus erythematosus</t>
  </si>
  <si>
    <t>Rheumatoid arthritis, Graft-versus-host disease, Allograft rejection</t>
  </si>
  <si>
    <t>Castleman's disease, Multiple myeloma, Systemic lupus erythematosus, Crohn's disease, Rheumatoid arthritis, Systemic juvenile idiopathic arthritis</t>
  </si>
  <si>
    <t>Hyper-cholesterolemia</t>
  </si>
  <si>
    <t>Cardiovascular disorders, Hyper-cholesterolemia, Hyperlipidemia</t>
  </si>
  <si>
    <t>Toll-like receptor signaling pathway</t>
  </si>
  <si>
    <t>Focal adhesion</t>
  </si>
  <si>
    <t>ECM-receptor interaction</t>
  </si>
  <si>
    <t>TGF-beta signaling pathway</t>
  </si>
  <si>
    <t>Natural killer cell mediated cytotoxicity</t>
  </si>
  <si>
    <t>VEGF signaling pathway</t>
  </si>
  <si>
    <t>Pathways in cancer</t>
  </si>
  <si>
    <t>Jak-STAT signaling pathway</t>
  </si>
  <si>
    <t>Adipocytokine signaling pathway</t>
  </si>
  <si>
    <t>ErbB signaling pathway</t>
  </si>
  <si>
    <t>Calcium signaling pathway</t>
  </si>
  <si>
    <t>Adherens junction</t>
  </si>
  <si>
    <t>Focal adhesion, ECM-receptor interaction, Cell adhesion molecules (CAMs), Leukocyte transendothelical migration</t>
  </si>
  <si>
    <t>L04A</t>
  </si>
  <si>
    <t>B01A</t>
  </si>
  <si>
    <t>L01X</t>
  </si>
  <si>
    <t>S01L</t>
  </si>
  <si>
    <t>V09I</t>
  </si>
  <si>
    <t>M05B</t>
  </si>
  <si>
    <t>C10A</t>
  </si>
  <si>
    <t>V10X</t>
  </si>
  <si>
    <t>V03A</t>
  </si>
  <si>
    <t>J06B</t>
  </si>
  <si>
    <t>R03D</t>
  </si>
  <si>
    <t>V09H</t>
  </si>
  <si>
    <t>Product Name</t>
    <phoneticPr fontId="3"/>
  </si>
  <si>
    <t>L04AA24</t>
  </si>
  <si>
    <t>B01AC13</t>
  </si>
  <si>
    <t>L04AB04</t>
  </si>
  <si>
    <t>L04AB03</t>
  </si>
  <si>
    <t>S01LA05</t>
  </si>
  <si>
    <t>L01XX44</t>
  </si>
  <si>
    <t>L04AA15</t>
  </si>
  <si>
    <t>L04AA34</t>
  </si>
  <si>
    <t>V09IA06</t>
  </si>
  <si>
    <t>L04AC02</t>
  </si>
  <si>
    <t>L04AA28</t>
  </si>
  <si>
    <t>L04AA26</t>
  </si>
  <si>
    <t>L01XC07</t>
  </si>
  <si>
    <t>L01XC19</t>
  </si>
  <si>
    <t>L01XC12</t>
  </si>
  <si>
    <t>L04AC09</t>
  </si>
  <si>
    <t>L04AC12</t>
  </si>
  <si>
    <t>L04AC08</t>
  </si>
  <si>
    <t>V09IB04</t>
  </si>
  <si>
    <t>L01XC09</t>
  </si>
  <si>
    <t>L04AB05</t>
  </si>
  <si>
    <t>L01XC06</t>
  </si>
  <si>
    <t>L04AC01</t>
  </si>
  <si>
    <t>M05BX04</t>
  </si>
  <si>
    <t>L01XC16</t>
  </si>
  <si>
    <t>L04AA25</t>
  </si>
  <si>
    <t>L01XC01</t>
  </si>
  <si>
    <t>L04AA21</t>
  </si>
  <si>
    <t>L04AB01</t>
  </si>
  <si>
    <t>C10AX13</t>
  </si>
  <si>
    <t>L01XC05</t>
  </si>
  <si>
    <t>L04AB06</t>
  </si>
  <si>
    <t>V10XX02</t>
  </si>
  <si>
    <t>V03AB37</t>
  </si>
  <si>
    <t>L04AB02</t>
  </si>
  <si>
    <t>L01XC11</t>
  </si>
  <si>
    <t>J06BB17</t>
  </si>
  <si>
    <t>L04AA23</t>
  </si>
  <si>
    <t>L01XC22</t>
  </si>
  <si>
    <t>L01XC17</t>
  </si>
  <si>
    <t>L01XC15</t>
  </si>
  <si>
    <t>L01XC10</t>
  </si>
  <si>
    <t>R03DX05</t>
  </si>
  <si>
    <t>J06BB16</t>
  </si>
  <si>
    <t>L01XC08</t>
  </si>
  <si>
    <t>L01XC18</t>
  </si>
  <si>
    <t>L01XC13</t>
  </si>
  <si>
    <t>L01XC21</t>
  </si>
  <si>
    <t>S01LA04</t>
  </si>
  <si>
    <t>R03DX08</t>
  </si>
  <si>
    <t>J06BB18</t>
  </si>
  <si>
    <t>L04AC04</t>
  </si>
  <si>
    <t>L01XC02</t>
  </si>
  <si>
    <t>V09IB02</t>
  </si>
  <si>
    <t>L04AC10</t>
  </si>
  <si>
    <t>L04AC11</t>
  </si>
  <si>
    <t>V09HA04</t>
  </si>
  <si>
    <t>L04AC07</t>
  </si>
  <si>
    <t>V10XA53</t>
  </si>
  <si>
    <t>L01XC03</t>
  </si>
  <si>
    <t>L01XC14</t>
  </si>
  <si>
    <t>L04AC05</t>
  </si>
  <si>
    <t>L04AA33</t>
  </si>
  <si>
    <t>Indium (111In) satumomab pendetide</t>
  </si>
  <si>
    <t>Briakinumab</t>
  </si>
  <si>
    <t>Osteomyelitis</t>
  </si>
  <si>
    <t>ATC Classification</t>
    <phoneticPr fontId="3"/>
  </si>
  <si>
    <t>http://www.ncbi.nlm.nih.gov/pmc/articles/PMC3070084/
http://www.ema.europa.eu/docs/en_GB/document_library/EPAR_-_Summary_for_the_public/human/001045/WC500075576.pdf
http://ec.europa.eu/health/documents/community-register/2010/2010011170109/anx_70109_en.pdf</t>
  </si>
  <si>
    <t>http://www.cancernetwork.com/hematologic-malignancies/road-romiplostim-approval-and-beyond
https://www.anthem.com/medicalpolicies/policies/mp_pw_c166598.htm
http://www.medicines.ie/medicine/14435/SPC/Nplate/</t>
  </si>
  <si>
    <t>Leukemia</t>
  </si>
  <si>
    <t>Sclerosis</t>
  </si>
  <si>
    <t>SUM</t>
  </si>
  <si>
    <t>Target Protein</t>
    <phoneticPr fontId="3"/>
  </si>
  <si>
    <t>Number of Antibody</t>
    <phoneticPr fontId="3"/>
  </si>
  <si>
    <t>Pathway</t>
    <phoneticPr fontId="3"/>
  </si>
  <si>
    <t>Target Pasways</t>
    <phoneticPr fontId="3"/>
  </si>
  <si>
    <t>Cytokine-cytokine receptor interaction</t>
    <phoneticPr fontId="3"/>
  </si>
  <si>
    <t>Hematopoietic cell lineage</t>
    <phoneticPr fontId="3"/>
  </si>
  <si>
    <t>MAPK signaling pathway</t>
    <phoneticPr fontId="3"/>
  </si>
  <si>
    <t>Rheumatoid arthritis</t>
    <phoneticPr fontId="3"/>
  </si>
  <si>
    <t>Cell adhesion molecules (CAMs)</t>
    <phoneticPr fontId="3"/>
  </si>
  <si>
    <t>Focal adhesion</t>
    <phoneticPr fontId="3"/>
  </si>
  <si>
    <t>Jak-STAT signaling pathway</t>
    <phoneticPr fontId="3"/>
  </si>
  <si>
    <t>Pathways in cancer</t>
    <phoneticPr fontId="3"/>
  </si>
  <si>
    <t>ErbB signaling pathway</t>
    <phoneticPr fontId="3"/>
  </si>
  <si>
    <t>Apoptosis</t>
    <phoneticPr fontId="3"/>
  </si>
  <si>
    <t>Calcium signaling pathway</t>
    <phoneticPr fontId="3"/>
  </si>
  <si>
    <t>T cell receptor signaling pathway</t>
    <phoneticPr fontId="3"/>
  </si>
  <si>
    <t>TGF-beta signaling pathway</t>
    <phoneticPr fontId="3"/>
  </si>
  <si>
    <t>VEGF signaling pathway</t>
    <phoneticPr fontId="3"/>
  </si>
  <si>
    <t>Adherens junction</t>
    <phoneticPr fontId="3"/>
  </si>
  <si>
    <t>Adipocytokine signaling pathway</t>
    <phoneticPr fontId="3"/>
  </si>
  <si>
    <t>Antigen processing and presentation</t>
    <phoneticPr fontId="3"/>
  </si>
  <si>
    <t>ECM-receptor interaction</t>
    <phoneticPr fontId="3"/>
  </si>
  <si>
    <t>NOD-like receptor signaling pathway</t>
    <phoneticPr fontId="3"/>
  </si>
  <si>
    <t>Natural killer cell mediated cytotoxicity</t>
    <phoneticPr fontId="3"/>
  </si>
  <si>
    <t>Toll-like receptor signaling pathway</t>
    <phoneticPr fontId="3"/>
  </si>
  <si>
    <t>SUM</t>
    <phoneticPr fontId="3"/>
  </si>
  <si>
    <t>Rheumatoid arthritis</t>
    <phoneticPr fontId="3"/>
  </si>
  <si>
    <t>Cell adhesion molecules (CAMs)</t>
    <phoneticPr fontId="3"/>
  </si>
  <si>
    <t>Concomitant Drugs</t>
    <phoneticPr fontId="3"/>
  </si>
  <si>
    <t>UNITUXIN</t>
  </si>
  <si>
    <t>http://cache.yahoofs.jp/search/cache?c=bdu7P7ovKJcJ&amp;p=dinutuximab+phase&amp;u=www.onclive.com%2Fweb-exclusives%2FFDA-Approves-Dinutuximab-for-High-Risk-Neuroblastoma</t>
  </si>
  <si>
    <t>FOLFIRI</t>
  </si>
  <si>
    <t>Rheumatrex</t>
  </si>
  <si>
    <t>固形腫瘍に対し、第3相試験段階のMEDI473と組み合わせた第2相試験が実施されている。</t>
  </si>
  <si>
    <t>転移性患者52名に対する第1相試験の結果、用量制限毒性、免疫原性、忍容性が良好だった。</t>
  </si>
  <si>
    <t>VCAP（ビンクリスチン硫酸塩、シクロホスファミド水和物、ドキソルビシン塩酸塩、プレドニゾロン）、AMP（ドキソルビシン塩酸塩、ラニムスチン、プレドニゾロン）、VECP（ビンデシン硫酸塩、エトポシド、カルボプラチン、プレドニゾロン）</t>
  </si>
  <si>
    <t>神経膠芽腫、神経膠腫、頭頸部がん、上咽頭がんの治療薬である。</t>
  </si>
  <si>
    <t>多発性硬化症、リンパ腫の治療薬である。</t>
  </si>
  <si>
    <t>abagovomab</t>
  </si>
  <si>
    <t>R</t>
  </si>
  <si>
    <t>Epithelial ovarian cancer</t>
  </si>
  <si>
    <t>CA125</t>
  </si>
  <si>
    <t>http://jco.ascopubs.org/content/31/12/1554.abstract</t>
  </si>
  <si>
    <t>http://www.rheumatology.org/I-Am-A/Patient-Caregiver/Treatments/Abatacept-Orencia</t>
  </si>
  <si>
    <t>DB01281</t>
  </si>
  <si>
    <t>integrin αIIbβ3</t>
  </si>
  <si>
    <t>http://www.abciximab.com/fda_info.html</t>
  </si>
  <si>
    <t>DB00054</t>
  </si>
  <si>
    <t>ABT-414</t>
  </si>
  <si>
    <t>phase1</t>
  </si>
  <si>
    <t>phase2</t>
  </si>
  <si>
    <t>II</t>
  </si>
  <si>
    <t>Glioblastoma Multiforme</t>
  </si>
  <si>
    <t>http://www.investinlife.com/index.php?option=com_content&amp;view=article&amp;id=112
http://www.abbvie.co.jp/about-us/japan-news/2015-news-archive/press-release-20150708-001.html</t>
  </si>
  <si>
    <t>https://www.humira.com/
http://www.rheuma-net.or.jp/rheuma/rm400/rm400_chiryo_seibutsugakutekiseizai.html</t>
  </si>
  <si>
    <t>P01375</t>
  </si>
  <si>
    <t>aducanumab</t>
  </si>
  <si>
    <t>phase3</t>
  </si>
  <si>
    <t>III</t>
  </si>
  <si>
    <t>conformational epitope</t>
  </si>
  <si>
    <t>http://www.alzforum.org/therapeutics/aducanumab</t>
  </si>
  <si>
    <t>afelimomab</t>
  </si>
  <si>
    <t>Severe sepsis</t>
  </si>
  <si>
    <t>http://www.ncbi.nlm.nih.gov/pubmed/15640628</t>
  </si>
  <si>
    <t>DB04956</t>
  </si>
  <si>
    <t>EYLEA</t>
  </si>
  <si>
    <t>AMD, CRVO</t>
  </si>
  <si>
    <t>VEGF-A, PIGF</t>
  </si>
  <si>
    <t>http://investor.regeneron.com/releasedetail.cfm?ReleaseID=625771
http://investor.regeneron.com/releasedetail.cfm?ReleaseID=737801
http://www.ema.europa.eu/ema/index.jsp?curl=pages/medicines/human/medicines/002392/human_med_001598.jsp&amp;mid=WC0b01ac058001d124</t>
  </si>
  <si>
    <t>DB08885</t>
  </si>
  <si>
    <t>P15692, P49763</t>
  </si>
  <si>
    <t>ZALTRAP</t>
  </si>
  <si>
    <t>mCRC</t>
  </si>
  <si>
    <t>VEGF-A, VEGF-B, PIGF</t>
  </si>
  <si>
    <t>https://www.google.co.jp/url?sa=t&amp;rct=j&amp;q=&amp;esrc=s&amp;source=web&amp;cd=2&amp;cad=rja&amp;uact=8&amp;ved=0ahUKEwjomZnWtN3MAhUiMaYKHU4ADzwQFggsMAE&amp;url=http%3A%2F%2Fwww.sanofi.co.jp%2Fl%2Fjp%2Fja%2Fdownload.jsp%3Ffile%3D3A4B65BC-65F3-4ECA-A4F3-88552413276C.pdf&amp;usg=AFQjCNFFaqEOryJ_z-d6-oEemBK7jbpPBw&amp;sig2=gB67K_saQ6fDwhJDTDpCxw
http://medical.nikkeibp.co.jp/leaf/all/search/cancer/news/201302/528947.html</t>
  </si>
  <si>
    <t>P15692, P49763, P49765</t>
  </si>
  <si>
    <t>AMEVIVE</t>
  </si>
  <si>
    <t>CD2</t>
  </si>
  <si>
    <t>http://www.ncbi.nlm.nih.gov/pubmed/12810502
http://www.centerwatch.com/drug-information/fda-approved-drugs/drug/820/amevive-alefacept</t>
  </si>
  <si>
    <t>DB00092</t>
  </si>
  <si>
    <t>P06729</t>
  </si>
  <si>
    <t>Relapsing remitting multiple sclerosis (RRMS)</t>
  </si>
  <si>
    <t>CD52</t>
  </si>
  <si>
    <t>DB00087</t>
  </si>
  <si>
    <t>P31358</t>
  </si>
  <si>
    <t>C10AX14</t>
  </si>
  <si>
    <t>non-saturable proteolytic pathway</t>
  </si>
  <si>
    <t>http://newsroom.regeneron.com/releasedetail.cfm?ReleaseID=942030
http://www.who.int/medicines/publications/druginformation/issues/WHO_DI_29-4_ATC-DDD.pdf</t>
  </si>
  <si>
    <t>Q8NBP7</t>
  </si>
  <si>
    <t>Indium In 111 altumomab pentetate</t>
  </si>
  <si>
    <t>W</t>
  </si>
  <si>
    <t>http://www.mdpi.com/toc/htmlview/tableview?i=t1-cancers-03-03279&amp;m=cancers-03-03279-manuscript&amp;v=t&amp;u=/2072-6694/3/3/3279</t>
  </si>
  <si>
    <t>ALX-0061</t>
  </si>
  <si>
    <t>amatuximab</t>
  </si>
  <si>
    <t>anifrolumab</t>
  </si>
  <si>
    <t>SLE</t>
  </si>
  <si>
    <t>Type I IFNR1</t>
  </si>
  <si>
    <t>http://www.biocentury.com/biotech-pharma-news/products/2015-11-16/what-medimmune-is-doing-to-increase-odds-of-phase-iii-sle-success-for-anifrolumab-a03
http://www.techtimes.com/articles/105396/20151111/astrazeneca-lupus-drug-anifrolumab-impresses-in-mid-stage-trial.htm</t>
  </si>
  <si>
    <t>arcitumomab</t>
  </si>
  <si>
    <t>CEACAM, CD227</t>
  </si>
  <si>
    <t>http://www.ema.europa.eu/docs/en_GB/document_library/Public_statement/2009/12/WC500018313.pdf
http://www.ncbi.nlm.nih.gov/books/NBK23676/</t>
  </si>
  <si>
    <t>DB00113</t>
  </si>
  <si>
    <t>atezolizumab</t>
  </si>
  <si>
    <t>Lung cancer</t>
  </si>
  <si>
    <t>http://www.alzforum.org/therapeutics/bapineuzumab
http://medical.nikkeibp.co.jp/leaf/mem/pub/hotnews/nejm/201402/534930.html</t>
  </si>
  <si>
    <t>CD25</t>
  </si>
  <si>
    <t>https://www.pharma.us.novartis.com/product/pi/pdf/simulect.pdf</t>
  </si>
  <si>
    <t>DB00074</t>
  </si>
  <si>
    <t>P01589</t>
  </si>
  <si>
    <t>3IU3</t>
  </si>
  <si>
    <t>bavituximab</t>
  </si>
  <si>
    <t>http://www.peregrineinc.com/clinical-trials/bavituximab-trials.html</t>
  </si>
  <si>
    <t>begelomab</t>
  </si>
  <si>
    <t>CD26</t>
  </si>
  <si>
    <t>DB06681</t>
  </si>
  <si>
    <t>Autoimmune disease</t>
  </si>
  <si>
    <t>BlyS</t>
  </si>
  <si>
    <t>DB08879</t>
  </si>
  <si>
    <t>Q9Y275</t>
  </si>
  <si>
    <t>benralizumab</t>
  </si>
  <si>
    <t>IL-5R</t>
  </si>
  <si>
    <t>VEGF</t>
  </si>
  <si>
    <t>http://www.cancer.gov/about-cancer/treatment/drugs/bevacizumab
http://www.ncbi.nlm.nih.gov/pmc/articles/PMC3227879/
http://chugai-pharm.jp/hc/ss/pr/drug/ava_via0100/pi/PDF/ava_pi.pdf</t>
  </si>
  <si>
    <t>DB00112</t>
  </si>
  <si>
    <t>P15692</t>
  </si>
  <si>
    <t>bimagrumab</t>
  </si>
  <si>
    <t>http://www.fiercebiotech.com/story/novartis-win-record-breakthrough-therapy-designation-orphan-drug/2013-08-20?utm_source=rss&amp;utm_medium=rss</t>
  </si>
  <si>
    <t>P27037, Q13705</t>
  </si>
  <si>
    <t>CD19, CD3</t>
  </si>
  <si>
    <t>http://www.prnewswire.com/news-releases/amgen-announces-positive-blincyto-blinatumomab-phase-2-study-results-in-patients-with-relapsedrefractory-philadelphia-chromosome-positive-b-cell-precursor-acute-lymphoblastic-leukemia-300114629.html
http://www.fda.gov/NewsEvents/Newsroom/PressAnnouncements/ucm425549.htm</t>
  </si>
  <si>
    <t>DB09052</t>
  </si>
  <si>
    <t>bococizumab</t>
  </si>
  <si>
    <t>http://press.pfizer.com/press-release/bococizumab-rn316-significantly-reduced-ldl-cholesterol-statin-treated-adults-high-cho
http://cholestero.jugem.jp/?eid=143</t>
  </si>
  <si>
    <t>CD30</t>
  </si>
  <si>
    <t>DB08870</t>
  </si>
  <si>
    <t>P28908</t>
  </si>
  <si>
    <t>http://www.ncbi.nlm.nih.gov/pubmed/25989338</t>
  </si>
  <si>
    <t>IL-17 receptor</t>
  </si>
  <si>
    <t>http://www.kyowa-kirin.co.jp/news_releases/2015/20150730_02.html
http://www.nejm.org/doi/full/10.1056/NEJMoa1503824</t>
  </si>
  <si>
    <t>Q16552</t>
  </si>
  <si>
    <t>http://healthdoctrine.com/canakinumab-novartis-drug-finds-rejection-in-us-market/
http://www.centerwatch.com/drug-information/fda-approved-drugs/drug/1263/ilaris-canakinumab</t>
  </si>
  <si>
    <t>DB06168</t>
  </si>
  <si>
    <t>P01584</t>
  </si>
  <si>
    <t>Prostate cancer</t>
  </si>
  <si>
    <t>PSMA</t>
  </si>
  <si>
    <t>http://www.ncbi.nlm.nih.gov/pubmed/10850293
http://www.fda.gov/Drugs/DevelopmentApprovalProcess/HowDrugsareDevelopedandApproved/ApprovalApplications/TherapeuticBiologicApplications/ucm080734.htm</t>
  </si>
  <si>
    <t>Q04609</t>
  </si>
  <si>
    <t>Cancerous ascites</t>
  </si>
  <si>
    <t>P16422, P09693, P07766, P04234, P20963</t>
  </si>
  <si>
    <t>Rheumatoid arthritis, Crohn's disease</t>
  </si>
  <si>
    <t>DB08904</t>
  </si>
  <si>
    <t>http://www.cancer.gov/about-cancer/treatment/drugs/fda-cetuximab
http://database.japic.or.jp/pdf/newPINS/00055812.pdf#search='%E3%82%A2%E3%83%BC%E3%83%93%E3%82%BF%E3%83%83%E3%82%AF%E3%82%B9'</t>
  </si>
  <si>
    <t>DB00002</t>
  </si>
  <si>
    <t>P00533</t>
  </si>
  <si>
    <t>http://www.roche.com/investors/updates/inv-update-2014-07-16.htm
http://www.reuters.com/article/us-alzheimer-s-roche-crenezumab-idUSKBN0FL1Z820140716#xLmrP33UyIjdFEf0.97</t>
  </si>
  <si>
    <t>daclizumab</t>
  </si>
  <si>
    <t>http://www.msdiscovery.org/research-resources/drug-pipeline</t>
  </si>
  <si>
    <t>DB00111</t>
  </si>
  <si>
    <t>P01589, P14784</t>
  </si>
  <si>
    <t>CD38</t>
  </si>
  <si>
    <t>demcizumab</t>
  </si>
  <si>
    <t>DLL4</t>
  </si>
  <si>
    <t>Q9NR61</t>
  </si>
  <si>
    <t>XGEVA</t>
  </si>
  <si>
    <t>RANKL</t>
  </si>
  <si>
    <t>http://www.myelomabeacon.com/news/2009/09/22/phase-3-trial-indicates-denosumab-delays-skeletal-related-events/
http://www.myelomabeacon.com/news/2009/10/23/beacon-newsflashes-%e2%80%93-october-23-2009/
http://www.ema.europa.eu/ema/index.jsp?curl=pages/medicines/human/medicines/002173/human_med_001463.jsp&amp;mid=WC0b01ac058001d124</t>
  </si>
  <si>
    <t>DB06643</t>
  </si>
  <si>
    <t>O14788</t>
  </si>
  <si>
    <t>dupilumab</t>
  </si>
  <si>
    <t>IL-4R, IL-13R</t>
  </si>
  <si>
    <t>http://www.fiercebiotech.com/story/regeneron-speeds-toward-fda-its-would-be-asthma-blockbuster/2015-05-18
https://www.carenet.com/news/general/carenet/38386</t>
  </si>
  <si>
    <t>P24394</t>
  </si>
  <si>
    <t>durvalumab</t>
  </si>
  <si>
    <t>CD274</t>
  </si>
  <si>
    <t>http://www.immunotherapyofcancer.org/content/3/S2/P193
http://www.astrazeneca.co.jp/media/pressrelease/Article/20150807</t>
  </si>
  <si>
    <t>dusigitumab</t>
  </si>
  <si>
    <t>IGF2</t>
  </si>
  <si>
    <t>http://www.ncbi.nlm.nih.gov/pmc/articles/PMC4419619/
https://clinicaltrials.gov/ct2/show/NCT00002968</t>
  </si>
  <si>
    <t>Q6U949</t>
  </si>
  <si>
    <t xml:space="preserve">Rheumatoid arthritis, Membranous nephritis, Lupus nephritis, Dermatomyositis, Autoimmune hemolytic anemias </t>
  </si>
  <si>
    <t>C5</t>
  </si>
  <si>
    <t xml:space="preserve">http://www.biospace.com/News/alexion-pharmaceuticals-inc-reports-positive/7946
</t>
  </si>
  <si>
    <t>DB01257</t>
  </si>
  <si>
    <t>P01031</t>
  </si>
  <si>
    <t>edrecolomab</t>
  </si>
  <si>
    <t>EpCAM</t>
  </si>
  <si>
    <t>P16422</t>
  </si>
  <si>
    <t>CD11</t>
  </si>
  <si>
    <t>Cell adhesion molecules (CAMs), Natural killer cell mediated cytotoxicity, Leukocyte transendothelical migration, Regulation of actin cytoskeleton</t>
  </si>
  <si>
    <t>DB00095</t>
  </si>
  <si>
    <t>P20701</t>
  </si>
  <si>
    <t>efungumab</t>
  </si>
  <si>
    <t>L01XC23</t>
  </si>
  <si>
    <t>SLAMF7</t>
  </si>
  <si>
    <t>http://www.fda.gov/Drugs/InformationOnDrugs/ApprovedDrugs/ucm474719.htm
http://www.fda.gov/NewsEvents/Newsroom/PressAnnouncements/ucm474684.htm
https://myeloma.gr.jp/userfiles/file/medical_info/ID340_J.pdf
http://www.who.int/medicines/publications/druginformation/issues/WHO_DI_29-4_ATC-DDD.pdf</t>
  </si>
  <si>
    <t>Q9NQ25</t>
  </si>
  <si>
    <t>CD19, CD22, Reactive oxygen species</t>
  </si>
  <si>
    <t>TNFα, TNFβ</t>
  </si>
  <si>
    <t>http://www.ncbi.nlm.nih.gov/pubmed/11816834
http://www.skintherapyletter.com/2006/11.1/1.html
http://www.rheuma-net.or.jp/rheuma/rm400/rm400_chiryo_seibutsugakutekiseizai.html</t>
  </si>
  <si>
    <t>DB00005</t>
  </si>
  <si>
    <t>etaracizumab</t>
  </si>
  <si>
    <t>Metastatic melanoma, Prostate cancer</t>
  </si>
  <si>
    <t>integrein αVβ3</t>
  </si>
  <si>
    <t>P05106, P06756</t>
  </si>
  <si>
    <t>etrolizumab</t>
  </si>
  <si>
    <t>integrein α4β7, integrein αEβ7</t>
  </si>
  <si>
    <t>P13612, P26010, P38570</t>
  </si>
  <si>
    <t>http://www.sciencedirect.com/science/article/pii/S0735109714017276
http://www.medscape.com/viewarticle/848370
http://www.fda.gov/NewsEvents/Newsroom/PressAnnouncements/ucm460082.htm</t>
  </si>
  <si>
    <t>fresolimumab</t>
  </si>
  <si>
    <t>TGFβ</t>
  </si>
  <si>
    <t>gantenerumab</t>
  </si>
  <si>
    <t>http://www.chugai-pharm.co.jp/news/detail/20141219150001.html
http://www.roche.com/media/store/releases/med-cor-2014-12-19b.htm</t>
  </si>
  <si>
    <t>P05067</t>
  </si>
  <si>
    <t>CD33</t>
  </si>
  <si>
    <t>http://medical.nikkeibp.co.jp/leaf/all/search/cancer/news/201006/515734.html
http://www.fda.gov/Safety/MedWatch/SafetyInformation/SafetyAlertsforHumanMedicalProducts/ucm216458.htm</t>
  </si>
  <si>
    <t>DB00056</t>
  </si>
  <si>
    <t>P20138</t>
  </si>
  <si>
    <t>gevokizumab</t>
  </si>
  <si>
    <t>girentuximab</t>
  </si>
  <si>
    <t>DB06674</t>
  </si>
  <si>
    <t>GSK2398852</t>
  </si>
  <si>
    <t>http://www.gsk-clinicalstudyregister.com/study/115570#ps
http://www.gsk-clinicalstudyregister.com/study/115970#ps
http://www.bcshguidelines.com/documents/Amyloid_2014.pdf</t>
  </si>
  <si>
    <t>guselkumab</t>
  </si>
  <si>
    <t>IL-13 subunit p19</t>
  </si>
  <si>
    <t>P35225</t>
  </si>
  <si>
    <t>DB00078</t>
  </si>
  <si>
    <t>Blood coagulation disorders</t>
  </si>
  <si>
    <t>igovomab</t>
  </si>
  <si>
    <t>Indimacis 125</t>
  </si>
  <si>
    <t>-</t>
  </si>
  <si>
    <t>http://biopharma.fmsdb.com/full7.lasso?order=302&amp;site=Fox&amp;DB_test=&amp;S=&amp;-token=none&amp;-nothing
http://medical.nikkeibp.co.jp/leaf/all/search/cancer/news/201006/515734.html</t>
  </si>
  <si>
    <t>IMC gp100</t>
  </si>
  <si>
    <t>Malignant melanoma</t>
  </si>
  <si>
    <t>DB00065</t>
  </si>
  <si>
    <t>inotuzumab ozogamicin</t>
  </si>
  <si>
    <t>IPH2201</t>
  </si>
  <si>
    <t>CTLA4</t>
  </si>
  <si>
    <t>DB06186</t>
  </si>
  <si>
    <t>P16410</t>
  </si>
  <si>
    <t xml:space="preserve">Plaque psoriasis, Psoriatic arthritis, Rheumatoid arthritis </t>
  </si>
  <si>
    <t>IL-17</t>
  </si>
  <si>
    <t>http://www.nejm.org/doi/full/10.1056/NEJMoa1109997
https://www.lilly.co.jp/pressrelease/2012/news_2012_101.aspx</t>
  </si>
  <si>
    <t>labetuzumab</t>
  </si>
  <si>
    <t>CEA</t>
  </si>
  <si>
    <t>P06731</t>
  </si>
  <si>
    <t>lampalizumab</t>
  </si>
  <si>
    <t>CFD</t>
  </si>
  <si>
    <t>http://www.roche.com/investors/updates/inv-update-2013-08-27.htm
http://www.roche.com/investors/updates/inv-update-2014-09-15.htm</t>
  </si>
  <si>
    <t>lebrikizumab</t>
  </si>
  <si>
    <t>IL-13</t>
  </si>
  <si>
    <t>http://www.roche.com/media/store/releases/med-cor-2014-03-05.htm
http://www.chugai-pharm.co.jp/news/detail/20140305150200.html</t>
  </si>
  <si>
    <t>lifastuzumab vedotin</t>
  </si>
  <si>
    <t>http://adcreview.com/tag/lifastuzumab-vedotin/
http://adcreview.com/lifastuzumab-vedotin-clinical-trials/</t>
  </si>
  <si>
    <t>lintuzumab</t>
  </si>
  <si>
    <t>Acute myeloid leukaemia, Myelodysplastic syndromes</t>
  </si>
  <si>
    <t>lorvotuzumab mertansine</t>
  </si>
  <si>
    <t>CD56</t>
  </si>
  <si>
    <t>http://adcreview.com/tag/lifastuzumab-vedotin/
http://www.myelomabeacon.com/news/2013/01/04/lorvotuzumab-mertansine-combination-in-relapsed-refractory-multiple-myeloma-patients-ash-2012/
http://www.ncbi.nlm.nih.gov/pmc/articles/PMC3984343/</t>
  </si>
  <si>
    <t>P13591</t>
  </si>
  <si>
    <t>lulizumab pegol</t>
  </si>
  <si>
    <t>CD28</t>
  </si>
  <si>
    <t>http://www.ncbi.nlm.nih.gov/pubmed/22801961
http://www.news-medical.net/news/20100913/Seattle-Genetics-lintuzumab-phase-IIb-clinical-trial-for-AML-does-not-meet-primary-endpoint.aspx
http://cc.bingj.com/cache.aspx?q=lulizumab+phase&amp;d=4558782892409274&amp;mkt=ja-JP&amp;setlang=ja-JP&amp;w=D76AvIKR9wQZGAwHFV8iLcRRb9hLFdLx</t>
  </si>
  <si>
    <t>LY2928057</t>
  </si>
  <si>
    <t>I</t>
  </si>
  <si>
    <t>Anaemia</t>
  </si>
  <si>
    <t>https://clinicaltrials.gov/ct2/show/NCT01991483
http://adisinsight.springer.com/drugs/800003245
http://www.bloodjournal.org/content/122/21/3433?sso-checked=true</t>
  </si>
  <si>
    <t>LY3002813</t>
  </si>
  <si>
    <t>MABp1</t>
  </si>
  <si>
    <t>IL-1α</t>
  </si>
  <si>
    <t>margetuximab</t>
  </si>
  <si>
    <t>ERBB2</t>
  </si>
  <si>
    <t>mavrilimumab</t>
  </si>
  <si>
    <t>CD116</t>
  </si>
  <si>
    <t>P15509</t>
  </si>
  <si>
    <t>MEDI-551</t>
  </si>
  <si>
    <t>CD19</t>
  </si>
  <si>
    <t>https://clinicaltrials.gov/ct2/show/NCT01466153</t>
  </si>
  <si>
    <t>Non-small cell lung cancer, Head and neck cancer</t>
  </si>
  <si>
    <t>http://www.astrazeneca.co.jp/media/pressrelease/Article/201505082
http://www.jpma.or.jp/medicine/shinyaku/development/com0030.html</t>
  </si>
  <si>
    <t>IL-5</t>
  </si>
  <si>
    <t>http://www.lse.co.uk/AllNews.asp?code=miw3m7gx</t>
  </si>
  <si>
    <t>P05113</t>
  </si>
  <si>
    <t>milatuzumab</t>
  </si>
  <si>
    <t>Multiple myeloma, Other hematological malignancies</t>
  </si>
  <si>
    <t>CD74</t>
  </si>
  <si>
    <t>P04233</t>
  </si>
  <si>
    <t>mitumomab</t>
  </si>
  <si>
    <t>GD3</t>
  </si>
  <si>
    <t>Q92185</t>
  </si>
  <si>
    <t>L01XC25</t>
  </si>
  <si>
    <t>PTCL, CTCL</t>
  </si>
  <si>
    <t>CCR4</t>
  </si>
  <si>
    <t>http://www.kyowa-kirin.co.jp/news_releases/2012/20121211_01.html
http://www.kyowa-kirin.co.jp/news_releases/2012/20120529_02.html
http://www.ncbi.nlm.nih.gov/pubmed/25605368
http://jco.ascopubs.org/content/early/2014/03/10/JCO.2013.52.0924
http://www.who.int/medicines/publications/druginformation/issues/WHO_DI_29-4_ATC-DDD.pdf
http://www.e-pharma.jp/druginfo/tempbunsyo/4291422A1021</t>
  </si>
  <si>
    <t>P51679</t>
  </si>
  <si>
    <t>moxetumomab pasudotox</t>
  </si>
  <si>
    <t>CD22</t>
  </si>
  <si>
    <t>https://clinicaltrials.gov/ct2/show/NCT01829711
http://www.ncbi.nlm.nih.gov/pubmed/22003067</t>
  </si>
  <si>
    <t>P20273</t>
  </si>
  <si>
    <t>motavizumab</t>
  </si>
  <si>
    <t>RSV</t>
  </si>
  <si>
    <t>http://www.drugs.com/history/motavizumab.html</t>
  </si>
  <si>
    <t>ORTHOCLONE OKT3</t>
  </si>
  <si>
    <t>http://www.ncbi.nlm.nih.gov/pubmed/16862164
http://onlinelibrary.wiley.com/doi/10.1002/9783527682423.ch60/summary</t>
  </si>
  <si>
    <t>DB00075</t>
  </si>
  <si>
    <t>integrin α4</t>
  </si>
  <si>
    <t>http://www.medscape.com/viewarticle/782319_2
http://www.fda.gov/downloads/Drugs/Drugsafety/postmarketdrugsafetyinformationforpatientsandproviders/ucm288126.pdf</t>
  </si>
  <si>
    <t>DB00108</t>
  </si>
  <si>
    <t>P13612</t>
  </si>
  <si>
    <t>4IRZ</t>
  </si>
  <si>
    <t>necitumumab</t>
  </si>
  <si>
    <t>nesvacumab</t>
  </si>
  <si>
    <t>ANG2</t>
  </si>
  <si>
    <t>https://clinicaltrials.gov/ct2/show/NCT01271972
https://clinicaltrials.gov/ct2/show/NCT01688960</t>
  </si>
  <si>
    <t>THERALOC</t>
  </si>
  <si>
    <t>Glioblastoma, Glioma, Head and neck cancer, Nasopharyngeal cancer</t>
  </si>
  <si>
    <t>http://www.fda.gov/NewsEvents/Newsroom/PressAnnouncements/ucm427716.htm
http://www.pharmacodia.com/web/drug/1_722.html</t>
  </si>
  <si>
    <t>DB09035</t>
  </si>
  <si>
    <t>Multiple sclerosis, Lymphoma</t>
  </si>
  <si>
    <t>DB08935</t>
  </si>
  <si>
    <t>ocrelizumab</t>
  </si>
  <si>
    <t>http://globenewswire.com/news-release/2015/11/23/789750/0/en/Genmab-Announces-Ofatumumab-Phase-III-Study-in-Follicular-Lymphoma-to-be-Stopped-Following-Planned-Interim-Analysis.html
http://www.cancer.gov/about-cancer/treatment/drugs/fda-ofatumumab</t>
  </si>
  <si>
    <t>3GIZ</t>
  </si>
  <si>
    <t>IgE</t>
  </si>
  <si>
    <t>http://www.medscape.com/viewarticle/779822
http://www.centerwatch.com/drug-information/fda-approved-drugs/drug/1063/xolair-omalizumab</t>
  </si>
  <si>
    <t>DB00043</t>
  </si>
  <si>
    <t>otelixizumab</t>
  </si>
  <si>
    <t>Type I diabetes, Psoriasis</t>
  </si>
  <si>
    <t>ozanezumab</t>
  </si>
  <si>
    <t>http://journals.plos.org/plosone/article?id=10.1371/journal.pone.0097803
http://www.ncbi.nlm.nih.gov/pubmed/25706882</t>
  </si>
  <si>
    <t>Q3LIF1</t>
  </si>
  <si>
    <t>Lower respiratory tract disease by RS virus</t>
  </si>
  <si>
    <t>RSV F protein</t>
  </si>
  <si>
    <t>Q9P7D9, Q9Y815</t>
  </si>
  <si>
    <t>http://www.ncbi.nlm.nih.gov/pubmed/20921465
http://www.livertox.nih.gov/Panitumumab.htm</t>
  </si>
  <si>
    <t>DB01269</t>
  </si>
  <si>
    <t>pascolizumab</t>
  </si>
  <si>
    <t>IL-4</t>
  </si>
  <si>
    <t>BRAF mutation, Malignant melanoma</t>
  </si>
  <si>
    <t>http://www.mercknewsroom.com/news-release/prescription-medicine-news/fda-approves-expanded-indication-mercks-keytruda-pembrolizum</t>
  </si>
  <si>
    <t>DB09037</t>
  </si>
  <si>
    <t>pemtumomab</t>
  </si>
  <si>
    <t>MUC1</t>
  </si>
  <si>
    <t>http://clincancerres.aacrjournals.org/content/17/20/6406.full.pdf
http://www.nature.com/nbt/journal/v21/n1/full/nbt0103-3a.html</t>
  </si>
  <si>
    <t>DB06366</t>
  </si>
  <si>
    <t>pidilizumab</t>
  </si>
  <si>
    <t>http://www.curetechbio.com/?TemplateID=29&amp;PageID=145&amp;TemplateType=14
http://medical.nikkeibp.co.jp/leaf/all/gakkai/sp/icml2013/201306/531258.html</t>
  </si>
  <si>
    <t>polatuzumab vedotin</t>
  </si>
  <si>
    <t>CD79b</t>
  </si>
  <si>
    <t>http://www.thelancet.com/journals/lanonc/article/PIIS1470-2045(15)70128-2/fulltext?rss=yes
http://www.roche.com/investors/updates/inv-update-2014-05-31b.htm</t>
  </si>
  <si>
    <t>racotumomab</t>
  </si>
  <si>
    <t>Malignant tumor, Solid tumors</t>
  </si>
  <si>
    <t>VEGFR2</t>
  </si>
  <si>
    <t>P35968</t>
  </si>
  <si>
    <t>http://www.ncbi.nlm.nih.gov/pubmed/22330964
http://www.allaboutvision.com/conditions/lucentis-vs-avastin.htm</t>
  </si>
  <si>
    <t>DB01270</t>
  </si>
  <si>
    <t>reslizumab</t>
  </si>
  <si>
    <t>http://www.tevapharm.com/news/teva_announces_fda_acceptance_of_the_biologics_license_application_for_reslizumab_06_15.aspx
http://www.teva.jp/news/2014/pdf/0908.pdf</t>
  </si>
  <si>
    <t>B.anthracis toxin</t>
  </si>
  <si>
    <t>https://clinicaltrials.gov/ct2/show/NCT02177721
http://www.fda.gov/NewsEvents/Newsroom/PressAnnouncements/ucm332341.htm</t>
  </si>
  <si>
    <t>P40136, P15917</t>
  </si>
  <si>
    <t>IL-1R1</t>
  </si>
  <si>
    <t>DB06372</t>
  </si>
  <si>
    <t>P14778</t>
  </si>
  <si>
    <t>rilotumumab</t>
  </si>
  <si>
    <t>HGF</t>
  </si>
  <si>
    <t>P08581</t>
  </si>
  <si>
    <t>http://www.anticancer-drug.net/molecular/rituximab.htm
http://www.gabionline.net/Biosimilars/News/Amgen-starts-phase-III-trial-for-biosimilar-rituximab</t>
  </si>
  <si>
    <t>DB00073</t>
  </si>
  <si>
    <t>romosozumab</t>
  </si>
  <si>
    <t>sclerostin</t>
  </si>
  <si>
    <t>http://www.ucb.com/investors/UCB-tomorrow/romosozumab
http://www.aabp.co.jp/en/news/?newsid=D69B4A687F9A4AD1A6D425E434392883
http://www.aabp.co.jp/jp/news/?newsid=D69B4A687F9A4AD1A6D425E434392883</t>
  </si>
  <si>
    <t>Q9BQB4</t>
  </si>
  <si>
    <t>sacituzumab govitecan</t>
  </si>
  <si>
    <t>Breast cancer, Solid tumors</t>
  </si>
  <si>
    <t>DNA topoisome-rase I, TROP2</t>
  </si>
  <si>
    <t>http://adcreview.com/news/sacituzumab-govitecan-immu-132-shows-positive-interim-phase-ii-results/
https://globenewswire.com/news-release/2015/09/08/766568/10148455/en/Immunomedics-Reports-Interim-Phase-2-Results-With-Sacituzumab-Govitecan-in-Lung-Cancers.html</t>
  </si>
  <si>
    <t>Rheumatoid arthritis, Ankylosing spondylitis</t>
  </si>
  <si>
    <t>IL-6</t>
  </si>
  <si>
    <t>http://www.prnewswire.com/news-releases/regeneron-and-sanofi-present-results-from-pivotal-phase-3-study-of-sarilumab-at-american-college-of-rheumatology-annual-meeting-300174459.html
http://www.sanofi.co.jp/l/jp/ja/layout.jsp?cnt=CBF43346-DF63-4A07-87E3-AD403FBEB056
http://www.qlifepro.com/news/20131209/sanofi-and-regeneron-inc-sarilumab-no-positive-phase-iii-trial-results-announced.html</t>
  </si>
  <si>
    <t>P05231</t>
  </si>
  <si>
    <t>Uveitis, Rheumatoid arthritis, psoriasis</t>
  </si>
  <si>
    <t>IL-17A</t>
  </si>
  <si>
    <t>http://www.novartis.co.jp/news/2013/pr20130718.html
https://www.novartis.com/news/media-releases/novartis-announces-fda-approval-first-il-17a-antagonist-cosentyxtm-secukinumab</t>
  </si>
  <si>
    <t>DB09029</t>
  </si>
  <si>
    <t>seribantumab</t>
  </si>
  <si>
    <t>Breast cancer, Non-small cell lung cancer, Ovarian cancer</t>
  </si>
  <si>
    <t>ERBB3</t>
  </si>
  <si>
    <t>sifalimumab</t>
  </si>
  <si>
    <t>interferon α</t>
  </si>
  <si>
    <t>SYLVANT</t>
  </si>
  <si>
    <t>Castleman's disease</t>
  </si>
  <si>
    <t>http://www.bloodjournal.org/content/123/26/4136?sso-checked=true
http://www.ascopost.com/issues/june-25,-2014/fda-approval-of-siltuximab-for-multicentric-castleman%E2%80%99s-disease.aspx</t>
  </si>
  <si>
    <t>DB09036</t>
  </si>
  <si>
    <t>simtuzumab</t>
  </si>
  <si>
    <t>CXCL12, LOXL2, VEGF-A</t>
  </si>
  <si>
    <t>sirukumab</t>
  </si>
  <si>
    <t>solanezumab</t>
  </si>
  <si>
    <t>NCA90</t>
  </si>
  <si>
    <t>tabalumab</t>
  </si>
  <si>
    <t>BAFF</t>
  </si>
  <si>
    <t>http://mf.jiho.jp/servlet/nk/kigyo/article/1226571962519.html?pageKind=outline
https://investor.lilly.com/releasedetail.cfm?ReleaseID=874281</t>
  </si>
  <si>
    <t>tanezumab</t>
  </si>
  <si>
    <t>NGF</t>
  </si>
  <si>
    <t>https://www.ucdmc.ucdavis.edu/publish/news/newsroom/4365
http://www.pfizer.com/news/press-release/press-release-detail/pfizer_and_lilly_preparing_to_resume_phase_3_chronic_pain_program_for_tanezumab</t>
  </si>
  <si>
    <t>P01138</t>
  </si>
  <si>
    <t>tarextumab</t>
  </si>
  <si>
    <t xml:space="preserve">Pancreatic cancer, Small cell lung cancer </t>
  </si>
  <si>
    <t>Notch-2 receptor, Notch-3 receptor</t>
  </si>
  <si>
    <t>http://meetinglibrary.asco.org/content/153399-156
http://www.oncomed.com/Pipeline.html</t>
  </si>
  <si>
    <t>tildrakizumab</t>
  </si>
  <si>
    <t>IL-23</t>
  </si>
  <si>
    <t>http://www.ncbi.nlm.nih.gov/pubmed/26042589</t>
  </si>
  <si>
    <t>Q9NPF7</t>
  </si>
  <si>
    <t>Lymphoseek</t>
  </si>
  <si>
    <t>&lt;Radio-pharmaceutical&gt;</t>
  </si>
  <si>
    <t>http://www.ncbi.nlm.nih.gov/pmc/articles/PMC3560941/
http://ir.navidea.com/phoenix.zhtml?c=68527&amp;p=irol-newsArticle&amp;ID=1795818</t>
  </si>
  <si>
    <t>DB06273</t>
  </si>
  <si>
    <t>P08887</t>
  </si>
  <si>
    <t>http://www.ncbi.nlm.nih.gov/pmc/articles/PMC2721297/
http://www.cancer.gov/about-cancer/treatment/drugs/fda-tositumomab-I131iodine-tositumomab</t>
  </si>
  <si>
    <t>DB00081</t>
  </si>
  <si>
    <t>tralokinumab</t>
  </si>
  <si>
    <t>https://www.astrazeneca.com/our-company/media-centre/articles/astrazeneca-personalised-healthcare-13052015.html
https://www.astrazeneca.com/our-company/media-centre/press-releases/2014/astrazeneca-tralokinumab-treatment-severe-asthma-14082014.html
http://www.astrazeneca.co.jp/media/pressrelease/Article/201505182</t>
  </si>
  <si>
    <t>Metastatic breast cancer</t>
  </si>
  <si>
    <t>DB00072</t>
  </si>
  <si>
    <t>http://www.chugai-pharm.co.jp/hc/ss/downloads/130129jT-DM1.pdf?blobheader=application%2Fpdf&amp;blobheadername1=content-disposition&amp;blobheadervalue1=inline%3Bfilename%3D130129jT-DM1.pdf&amp;blobwhere=1396858140824&amp;ssbinary=true
http://www.ncbi.nlm.nih.gov/pmc/articles/PMC4206612/</t>
  </si>
  <si>
    <t>DB05773</t>
  </si>
  <si>
    <t>tremelimumab</t>
  </si>
  <si>
    <t>https://www.astrazeneca.com/our-company/media-centre/articles/immuno-oncology-update-european-cancer-congress-24092015.html
http://www.astrazeneca.co.jp/media/pressrelease/Article/201504172</t>
  </si>
  <si>
    <t>IL-12, IL-23-p40</t>
  </si>
  <si>
    <t>DB05679</t>
  </si>
  <si>
    <t>P42701, Q9NPF7</t>
  </si>
  <si>
    <t>vantictumab</t>
  </si>
  <si>
    <t>phase1b</t>
  </si>
  <si>
    <t>advanced solid tumor, HER2-negative breast cancer</t>
  </si>
  <si>
    <t>Frizzled receptors</t>
  </si>
  <si>
    <t>Wnt cancer stem cell pathway</t>
  </si>
  <si>
    <t>http://investor.shareholder.com/oncomed/releasedetail.cfm?ReleaseID=868147
http://globenewswire.com/news-release/2015/11/09/785208/0/en/OncoMed-Presents-Data-From-Brontictuzumab-Vantictumab-and-Anti-DLL4-VEGF-Bispecific-Programs-at-the-AACR-NCI-EORTC-International-Conference-on-Molecular-Targets-and-Cancer-Therapeu.html</t>
  </si>
  <si>
    <t>integrin α4β7</t>
  </si>
  <si>
    <t>http://www.ncbi.nlm.nih.gov/pmc/articles/PMC3557917/
http://www.fda.gov/NewsEvents/Newsroom/PressAnnouncements/ucm398065.htm</t>
  </si>
  <si>
    <t>DB09033</t>
  </si>
  <si>
    <t>veltuzumab</t>
  </si>
  <si>
    <t>votumumab</t>
  </si>
  <si>
    <t>yttrium (90Y) clivatuzumab tetraxetan</t>
  </si>
  <si>
    <t>CD227</t>
  </si>
  <si>
    <t>P15941</t>
  </si>
  <si>
    <t>ORENCIA</t>
  </si>
  <si>
    <t>REOPRO</t>
  </si>
  <si>
    <t>TRUDEXA</t>
  </si>
  <si>
    <r>
      <t xml:space="preserve">adalimumab_x000D_
</t>
    </r>
    <r>
      <rPr>
        <sz val="11"/>
        <color theme="1"/>
        <rFont val="ＭＳ Ｐ明朝"/>
        <family val="1"/>
        <charset val="128"/>
      </rPr>
      <t>アダリムマブ</t>
    </r>
  </si>
  <si>
    <r>
      <t xml:space="preserve">HUMIRA_x000D_
</t>
    </r>
    <r>
      <rPr>
        <sz val="11"/>
        <color theme="1"/>
        <rFont val="ＭＳ Ｐ明朝"/>
        <family val="1"/>
        <charset val="128"/>
      </rPr>
      <t>ヒュミラ</t>
    </r>
  </si>
  <si>
    <t>adalimumab-atto</t>
  </si>
  <si>
    <t>AMJEVITA</t>
  </si>
  <si>
    <t>LEMTRADA</t>
  </si>
  <si>
    <r>
      <t xml:space="preserve">alemtuzumab_x000D_
</t>
    </r>
    <r>
      <rPr>
        <sz val="11"/>
        <color theme="1"/>
        <rFont val="ＭＳ Ｐ明朝"/>
        <family val="1"/>
        <charset val="128"/>
      </rPr>
      <t>アレムツズマブ</t>
    </r>
  </si>
  <si>
    <r>
      <t xml:space="preserve">alirocumab_x000D_
</t>
    </r>
    <r>
      <rPr>
        <sz val="11"/>
        <color theme="1"/>
        <rFont val="ＭＳ Ｐ明朝"/>
        <family val="1"/>
        <charset val="128"/>
      </rPr>
      <t>アリロクマブ</t>
    </r>
  </si>
  <si>
    <r>
      <t xml:space="preserve">PRALUENT_x000D_
</t>
    </r>
    <r>
      <rPr>
        <sz val="11"/>
        <color theme="1"/>
        <rFont val="ＭＳ Ｐ明朝"/>
        <family val="1"/>
        <charset val="128"/>
      </rPr>
      <t>プラルエント</t>
    </r>
  </si>
  <si>
    <t>CEA-SCAN</t>
  </si>
  <si>
    <t>TECENTRIQ</t>
  </si>
  <si>
    <r>
      <t xml:space="preserve">basiliximab_x000D_
</t>
    </r>
    <r>
      <rPr>
        <sz val="11"/>
        <color theme="1"/>
        <rFont val="ＭＳ Ｐ明朝"/>
        <family val="1"/>
        <charset val="128"/>
      </rPr>
      <t>バシリキシマブ</t>
    </r>
  </si>
  <si>
    <r>
      <t xml:space="preserve">SIMULECT_x000D_
</t>
    </r>
    <r>
      <rPr>
        <sz val="11"/>
        <color theme="1"/>
        <rFont val="ＭＳ Ｐ明朝"/>
        <family val="1"/>
        <charset val="128"/>
      </rPr>
      <t>シムレクト</t>
    </r>
  </si>
  <si>
    <t>NULOJIX</t>
  </si>
  <si>
    <t>BENLYSTA</t>
  </si>
  <si>
    <t>SCINTIMUN</t>
  </si>
  <si>
    <r>
      <t xml:space="preserve">bevacizumab_x000D_
</t>
    </r>
    <r>
      <rPr>
        <sz val="11"/>
        <color theme="1"/>
        <rFont val="ＭＳ Ｐ明朝"/>
        <family val="1"/>
        <charset val="128"/>
      </rPr>
      <t>ベバシズマブ</t>
    </r>
  </si>
  <si>
    <r>
      <t xml:space="preserve">AVASTIN_x000D_
</t>
    </r>
    <r>
      <rPr>
        <sz val="11"/>
        <color theme="1"/>
        <rFont val="ＭＳ Ｐ明朝"/>
        <family val="1"/>
        <charset val="128"/>
      </rPr>
      <t>アバスチン</t>
    </r>
  </si>
  <si>
    <t>bezlotoxumab</t>
  </si>
  <si>
    <t>ZINPLAVA</t>
  </si>
  <si>
    <t>BLINCYTO</t>
  </si>
  <si>
    <r>
      <t xml:space="preserve">brentuximab vedotin_x000D_
</t>
    </r>
    <r>
      <rPr>
        <sz val="11"/>
        <color theme="1"/>
        <rFont val="ＭＳ Ｐ明朝"/>
        <family val="1"/>
        <charset val="128"/>
      </rPr>
      <t>ブレンツキシマブ　ベドチン</t>
    </r>
  </si>
  <si>
    <r>
      <t xml:space="preserve">ADCETRIS_x000D_
</t>
    </r>
    <r>
      <rPr>
        <sz val="11"/>
        <color theme="1"/>
        <rFont val="ＭＳ Ｐ明朝"/>
        <family val="1"/>
        <charset val="128"/>
      </rPr>
      <t>アドセトリス</t>
    </r>
  </si>
  <si>
    <r>
      <t xml:space="preserve">brodalumab_x000D_
</t>
    </r>
    <r>
      <rPr>
        <sz val="11"/>
        <color theme="1"/>
        <rFont val="ＭＳ Ｐ明朝"/>
        <family val="1"/>
        <charset val="128"/>
      </rPr>
      <t>ブロダルマブ</t>
    </r>
  </si>
  <si>
    <r>
      <t xml:space="preserve">LUMICEF_x000D_
</t>
    </r>
    <r>
      <rPr>
        <sz val="11"/>
        <color theme="1"/>
        <rFont val="ＭＳ Ｐ明朝"/>
        <family val="1"/>
        <charset val="128"/>
      </rPr>
      <t>ルミセフ</t>
    </r>
  </si>
  <si>
    <r>
      <t xml:space="preserve">canakinumab_x000D_
</t>
    </r>
    <r>
      <rPr>
        <sz val="11"/>
        <color theme="1"/>
        <rFont val="ＭＳ Ｐ明朝"/>
        <family val="1"/>
        <charset val="128"/>
      </rPr>
      <t>カナキヌマブ</t>
    </r>
  </si>
  <si>
    <r>
      <t xml:space="preserve">ILARIS_x000D_
</t>
    </r>
    <r>
      <rPr>
        <sz val="11"/>
        <color theme="1"/>
        <rFont val="ＭＳ Ｐ明朝"/>
        <family val="1"/>
        <charset val="128"/>
      </rPr>
      <t>イラリス</t>
    </r>
  </si>
  <si>
    <t>PROSTASCINT</t>
  </si>
  <si>
    <t>REMOVAB</t>
  </si>
  <si>
    <r>
      <t xml:space="preserve">certolizumab pegol_x000D_
</t>
    </r>
    <r>
      <rPr>
        <sz val="11"/>
        <color theme="1"/>
        <rFont val="ＭＳ Ｐ明朝"/>
        <family val="1"/>
        <charset val="128"/>
      </rPr>
      <t>セルトリズマブ　ペゴル</t>
    </r>
  </si>
  <si>
    <r>
      <t xml:space="preserve">CIMZIA_x000D_
</t>
    </r>
    <r>
      <rPr>
        <sz val="11"/>
        <color theme="1"/>
        <rFont val="ＭＳ Ｐ明朝"/>
        <family val="1"/>
        <charset val="128"/>
      </rPr>
      <t>シムジア</t>
    </r>
  </si>
  <si>
    <r>
      <t xml:space="preserve">cetuximab_x000D_
</t>
    </r>
    <r>
      <rPr>
        <sz val="11"/>
        <color theme="1"/>
        <rFont val="ＭＳ Ｐ明朝"/>
        <family val="1"/>
        <charset val="128"/>
      </rPr>
      <t>セツキシマブ</t>
    </r>
  </si>
  <si>
    <r>
      <t xml:space="preserve">ERBITUX_x000D_
</t>
    </r>
    <r>
      <rPr>
        <sz val="11"/>
        <color theme="1"/>
        <rFont val="ＭＳ Ｐ明朝"/>
        <family val="1"/>
        <charset val="128"/>
      </rPr>
      <t>アービタックス</t>
    </r>
  </si>
  <si>
    <t>ZENAPAX</t>
  </si>
  <si>
    <t>ZINBRYTA</t>
  </si>
  <si>
    <t>L01XC24</t>
  </si>
  <si>
    <t>DARZALEX</t>
  </si>
  <si>
    <r>
      <t xml:space="preserve">denosumab_x000D_
</t>
    </r>
    <r>
      <rPr>
        <sz val="11"/>
        <color theme="1"/>
        <rFont val="ＭＳ Ｐ明朝"/>
        <family val="1"/>
        <charset val="128"/>
      </rPr>
      <t>デノスマブ</t>
    </r>
  </si>
  <si>
    <r>
      <t xml:space="preserve">eculizumab_x000D_
</t>
    </r>
    <r>
      <rPr>
        <sz val="11"/>
        <color theme="1"/>
        <rFont val="ＭＳ Ｐ明朝"/>
        <family val="1"/>
        <charset val="128"/>
      </rPr>
      <t>エクリズマブ</t>
    </r>
  </si>
  <si>
    <r>
      <t xml:space="preserve">SOLIRIS_x000D_
</t>
    </r>
    <r>
      <rPr>
        <sz val="11"/>
        <color theme="1"/>
        <rFont val="ＭＳ Ｐ明朝"/>
        <family val="1"/>
        <charset val="128"/>
      </rPr>
      <t>ソリリス</t>
    </r>
  </si>
  <si>
    <t>RAPTIVA</t>
  </si>
  <si>
    <r>
      <t xml:space="preserve">elotuzumab_x000D_
</t>
    </r>
    <r>
      <rPr>
        <sz val="11"/>
        <color theme="1"/>
        <rFont val="ＭＳ Ｐ明朝"/>
        <family val="1"/>
        <charset val="128"/>
      </rPr>
      <t>エロツズマブ</t>
    </r>
  </si>
  <si>
    <r>
      <t xml:space="preserve">EMPLICITI_x000D_
</t>
    </r>
    <r>
      <rPr>
        <sz val="11"/>
        <color theme="1"/>
        <rFont val="ＭＳ Ｐ明朝"/>
        <family val="1"/>
        <charset val="128"/>
      </rPr>
      <t>エムプリシティ</t>
    </r>
  </si>
  <si>
    <t>etanercept-szzs</t>
  </si>
  <si>
    <t>ERELZI</t>
  </si>
  <si>
    <r>
      <t xml:space="preserve">evolocumab_x000D_
</t>
    </r>
    <r>
      <rPr>
        <sz val="11"/>
        <color theme="1"/>
        <rFont val="ＭＳ Ｐ明朝"/>
        <family val="1"/>
        <charset val="128"/>
      </rPr>
      <t>エボロクマブ</t>
    </r>
  </si>
  <si>
    <r>
      <t xml:space="preserve">REPATHA_x000D_
</t>
    </r>
    <r>
      <rPr>
        <sz val="11"/>
        <color theme="1"/>
        <rFont val="ＭＳ Ｐ明朝"/>
        <family val="1"/>
        <charset val="128"/>
      </rPr>
      <t>レパーサ</t>
    </r>
  </si>
  <si>
    <t>R 2014_x000D_
(phase3)</t>
  </si>
  <si>
    <r>
      <t xml:space="preserve">gemtuzumab ozogamicin_x000D_
</t>
    </r>
    <r>
      <rPr>
        <sz val="11"/>
        <color theme="1"/>
        <rFont val="ＭＳ Ｐ明朝"/>
        <family val="1"/>
        <charset val="128"/>
      </rPr>
      <t>ゲムツズマブオゾガマイシン</t>
    </r>
  </si>
  <si>
    <r>
      <t xml:space="preserve">MYLOTARG_x000D_
</t>
    </r>
    <r>
      <rPr>
        <sz val="11"/>
        <color theme="1"/>
        <rFont val="ＭＳ Ｐ明朝"/>
        <family val="1"/>
        <charset val="128"/>
      </rPr>
      <t>マイロターグ</t>
    </r>
  </si>
  <si>
    <t xml:space="preserve">SIMPONI ARIA  </t>
  </si>
  <si>
    <r>
      <t xml:space="preserve">golimumab_x000D_
</t>
    </r>
    <r>
      <rPr>
        <sz val="11"/>
        <color theme="1"/>
        <rFont val="ＭＳ Ｐ明朝"/>
        <family val="1"/>
        <charset val="128"/>
      </rPr>
      <t>ゴリムマブ</t>
    </r>
  </si>
  <si>
    <r>
      <t xml:space="preserve">SIMPONI_x000D_
</t>
    </r>
    <r>
      <rPr>
        <sz val="11"/>
        <color theme="1"/>
        <rFont val="ＭＳ Ｐ明朝"/>
        <family val="1"/>
        <charset val="128"/>
      </rPr>
      <t>シンポニー</t>
    </r>
  </si>
  <si>
    <r>
      <t xml:space="preserve">ibritumomab tiuxetan_x000D_
</t>
    </r>
    <r>
      <rPr>
        <sz val="11"/>
        <color theme="1"/>
        <rFont val="ＭＳ Ｐ明朝"/>
        <family val="1"/>
        <charset val="128"/>
      </rPr>
      <t>イットリウム（</t>
    </r>
    <r>
      <rPr>
        <sz val="11"/>
        <color theme="1"/>
        <rFont val="Times New Roman"/>
        <family val="1"/>
      </rPr>
      <t>90Y</t>
    </r>
    <r>
      <rPr>
        <sz val="11"/>
        <color theme="1"/>
        <rFont val="ＭＳ Ｐ明朝"/>
        <family val="1"/>
        <charset val="128"/>
      </rPr>
      <t>）イブリツモマブ　チウキセタン_x000D_
インジウム（</t>
    </r>
    <r>
      <rPr>
        <sz val="11"/>
        <color theme="1"/>
        <rFont val="Times New Roman"/>
        <family val="1"/>
      </rPr>
      <t>111In</t>
    </r>
    <r>
      <rPr>
        <sz val="11"/>
        <color theme="1"/>
        <rFont val="ＭＳ Ｐ明朝"/>
        <family val="1"/>
        <charset val="128"/>
      </rPr>
      <t>）イブリツモマブ　チウキセタン</t>
    </r>
  </si>
  <si>
    <r>
      <t xml:space="preserve">ZEVALIN_x000D_
</t>
    </r>
    <r>
      <rPr>
        <sz val="11"/>
        <color theme="1"/>
        <rFont val="ＭＳ Ｐ明朝"/>
        <family val="1"/>
        <charset val="128"/>
      </rPr>
      <t>ゼヴァリン</t>
    </r>
  </si>
  <si>
    <r>
      <t xml:space="preserve">idarucizumab_x000D_
</t>
    </r>
    <r>
      <rPr>
        <sz val="11"/>
        <color theme="1"/>
        <rFont val="ＭＳ Ｐ明朝"/>
        <family val="1"/>
        <charset val="128"/>
      </rPr>
      <t>イダルシズマブ</t>
    </r>
  </si>
  <si>
    <r>
      <t xml:space="preserve">PRAXBIND_x000D_
</t>
    </r>
    <r>
      <rPr>
        <sz val="11"/>
        <color theme="1"/>
        <rFont val="ＭＳ Ｐ明朝"/>
        <family val="1"/>
        <charset val="128"/>
      </rPr>
      <t>プリズバインド</t>
    </r>
  </si>
  <si>
    <t>imciromab pentetate</t>
  </si>
  <si>
    <t>MYOSCINT</t>
  </si>
  <si>
    <t>REMSIMA</t>
  </si>
  <si>
    <r>
      <t xml:space="preserve">infliximab_x000D_
</t>
    </r>
    <r>
      <rPr>
        <sz val="11"/>
        <color theme="1"/>
        <rFont val="ＭＳ Ｐ明朝"/>
        <family val="1"/>
        <charset val="128"/>
      </rPr>
      <t>インフリキシマブ</t>
    </r>
  </si>
  <si>
    <r>
      <t xml:space="preserve">REMICADE_x000D_
</t>
    </r>
    <r>
      <rPr>
        <sz val="11"/>
        <color theme="1"/>
        <rFont val="ＭＳ Ｐ明朝"/>
        <family val="1"/>
        <charset val="128"/>
      </rPr>
      <t>レミケード</t>
    </r>
  </si>
  <si>
    <r>
      <t xml:space="preserve">infliximab-dyyb_x000D_
</t>
    </r>
    <r>
      <rPr>
        <sz val="11"/>
        <color theme="1"/>
        <rFont val="ＭＳ Ｐ明朝"/>
        <family val="1"/>
        <charset val="128"/>
      </rPr>
      <t>インフリキシマブ</t>
    </r>
  </si>
  <si>
    <t>R 2013_x000D_
(phase3)</t>
  </si>
  <si>
    <r>
      <t xml:space="preserve">ipilimumab_x000D_
</t>
    </r>
    <r>
      <rPr>
        <sz val="11"/>
        <color theme="1"/>
        <rFont val="ＭＳ Ｐ明朝"/>
        <family val="1"/>
        <charset val="128"/>
      </rPr>
      <t>イピリムマブ</t>
    </r>
  </si>
  <si>
    <r>
      <t xml:space="preserve">YERVOY_x000D_
</t>
    </r>
    <r>
      <rPr>
        <sz val="11"/>
        <color theme="1"/>
        <rFont val="ＭＳ Ｐ明朝"/>
        <family val="1"/>
        <charset val="128"/>
      </rPr>
      <t>ヤーボイ</t>
    </r>
  </si>
  <si>
    <r>
      <t xml:space="preserve">TALTZ_x000D_
</t>
    </r>
    <r>
      <rPr>
        <sz val="11"/>
        <color theme="1"/>
        <rFont val="ＭＳ Ｐ明朝"/>
        <family val="1"/>
        <charset val="128"/>
      </rPr>
      <t>トルツ</t>
    </r>
  </si>
  <si>
    <t>R 2010_x000D_
(phase2b)</t>
  </si>
  <si>
    <t>R 2005_x000D_
(phase3)</t>
  </si>
  <si>
    <t>NATALIZUMAB ELAN PHARMA</t>
  </si>
  <si>
    <t>PORTRAZZA</t>
  </si>
  <si>
    <t>R 2014_x000D_
(phase1)</t>
  </si>
  <si>
    <t>NIVOLUMAB BMS</t>
  </si>
  <si>
    <t>nofetumomab</t>
  </si>
  <si>
    <t>VERLUMA</t>
  </si>
  <si>
    <t>obiltoxaximab</t>
  </si>
  <si>
    <t>ANTHIM</t>
  </si>
  <si>
    <t>GAZYVA (GAZYVARO)</t>
  </si>
  <si>
    <t>R 2010_x000D_
(phase3)</t>
  </si>
  <si>
    <t>R 2003_x000D_
(phase2)</t>
  </si>
  <si>
    <t>R 2004_x000D_
(phase3)</t>
  </si>
  <si>
    <t>RAXIBACUMAB</t>
  </si>
  <si>
    <t>CINQAIR (CINQAERO)</t>
  </si>
  <si>
    <t>NPLATE</t>
  </si>
  <si>
    <t>R 2015_x000D_
(phase2)</t>
  </si>
  <si>
    <t>LEUKOSCAN</t>
  </si>
  <si>
    <t>BEXXAR</t>
  </si>
  <si>
    <t>ENTYVIO</t>
  </si>
  <si>
    <t>HumaSPECT</t>
  </si>
  <si>
    <t>mepolizumab_x000D_
メポリズマブ</t>
  </si>
  <si>
    <t>NUCALA_x000D_
ヌーカラ</t>
  </si>
  <si>
    <t>mogamulizumab_x000D_
モガムリズマブ</t>
  </si>
  <si>
    <t>POTELIGEO_x000D_
ポテリジオ</t>
  </si>
  <si>
    <t>natalizumab_x000D_
ナタリズマブ</t>
  </si>
  <si>
    <t>TYSABRI_x000D_
タイサブリ</t>
  </si>
  <si>
    <t>nivolumab_x000D_
ニボルマブ</t>
  </si>
  <si>
    <t>OPDIVO_x000D_
オプジーボ</t>
  </si>
  <si>
    <t>ofatumumab_x000D_
オファツムマブ</t>
  </si>
  <si>
    <t>ARZERRA_x000D_
アーゼラ</t>
  </si>
  <si>
    <t>omalizumab_x000D_
オマリズマブ</t>
  </si>
  <si>
    <t>XOLAIR_x000D_
ゾレア</t>
  </si>
  <si>
    <t>palivizumab_x000D_
パリビズマブ</t>
  </si>
  <si>
    <t>SYNAGIS_x000D_
シナジス</t>
  </si>
  <si>
    <t>panitumumab_x000D_
パニツムマブ</t>
  </si>
  <si>
    <t>VECTIBIX_x000D_
ベクティビックス</t>
  </si>
  <si>
    <t>pembrolizumab_x000D_
ペムブロリズマブ</t>
  </si>
  <si>
    <t>KEYTRUDA_x000D_
キイトルーダ</t>
  </si>
  <si>
    <t>pertuzumab_x000D_
ペルツズマブ</t>
  </si>
  <si>
    <t>PERJETA_x000D_
パージェタ</t>
  </si>
  <si>
    <t>ramucirumab_x000D_
ラムシルマブ</t>
  </si>
  <si>
    <t>CYRAMZA_x000D_
サイラムザ</t>
  </si>
  <si>
    <t>ranibizumab_x000D_
ラニビズマブ</t>
  </si>
  <si>
    <t>LUCENTIS_x000D_
ルセンティス</t>
  </si>
  <si>
    <t>rituximab_x000D_
リツキシマブ</t>
  </si>
  <si>
    <t>secukinumab_x000D_
セクキヌマブ</t>
  </si>
  <si>
    <t>COSENTYX_x000D_
コセンティクス</t>
  </si>
  <si>
    <t>tocilizumab_x000D_
トシリズマブ</t>
  </si>
  <si>
    <t>ACTEMRA (RoActemra)_x000D_
アクテムラ</t>
  </si>
  <si>
    <t>trastuzumab emtansine_x000D_
トラスツズマブ　エムタンシン</t>
  </si>
  <si>
    <t>KADCYLA_x000D_
カドサイラ</t>
  </si>
  <si>
    <t>trastuzumab_x000D_
トラスツズマブ</t>
  </si>
  <si>
    <t>HERCEPTIN_x000D_
ハーセプチン</t>
  </si>
  <si>
    <t>ustekinumab_x000D_
ウステキヌマブ</t>
  </si>
  <si>
    <t>STELARA_x000D_
ステラーラ</t>
  </si>
  <si>
    <r>
      <rPr>
        <sz val="11"/>
        <color theme="1"/>
        <rFont val="ＭＳ Ｐ明朝"/>
        <family val="1"/>
        <charset val="128"/>
      </rPr>
      <t>ステージ</t>
    </r>
    <r>
      <rPr>
        <sz val="11"/>
        <color theme="1"/>
        <rFont val="Times New Roman"/>
        <family val="1"/>
      </rPr>
      <t>III</t>
    </r>
    <r>
      <rPr>
        <sz val="11"/>
        <color theme="1"/>
        <rFont val="ＭＳ Ｐ明朝"/>
        <family val="1"/>
        <charset val="128"/>
      </rPr>
      <t>・</t>
    </r>
    <r>
      <rPr>
        <sz val="11"/>
        <color theme="1"/>
        <rFont val="Times New Roman"/>
        <family val="1"/>
      </rPr>
      <t>IV</t>
    </r>
    <r>
      <rPr>
        <sz val="11"/>
        <color theme="1"/>
        <rFont val="ＭＳ Ｐ明朝"/>
        <family val="1"/>
        <charset val="128"/>
      </rPr>
      <t>卵巣がん患者を対象とした第</t>
    </r>
    <r>
      <rPr>
        <sz val="11"/>
        <color theme="1"/>
        <rFont val="Times New Roman"/>
        <family val="1"/>
      </rPr>
      <t>3</t>
    </r>
    <r>
      <rPr>
        <sz val="11"/>
        <color theme="1"/>
        <rFont val="ＭＳ Ｐ明朝"/>
        <family val="1"/>
        <charset val="128"/>
      </rPr>
      <t>相試験において、免疫応答の誘発は確認されたものの、期待された</t>
    </r>
    <r>
      <rPr>
        <sz val="11"/>
        <color theme="1"/>
        <rFont val="Times New Roman"/>
        <family val="1"/>
      </rPr>
      <t>PFS</t>
    </r>
    <r>
      <rPr>
        <sz val="11"/>
        <color theme="1"/>
        <rFont val="ＭＳ Ｐ明朝"/>
        <family val="1"/>
        <charset val="128"/>
      </rPr>
      <t>・</t>
    </r>
    <r>
      <rPr>
        <sz val="11"/>
        <color theme="1"/>
        <rFont val="Times New Roman"/>
        <family val="1"/>
      </rPr>
      <t>OS</t>
    </r>
    <r>
      <rPr>
        <sz val="11"/>
        <color theme="1"/>
        <rFont val="ＭＳ Ｐ明朝"/>
        <family val="1"/>
        <charset val="128"/>
      </rPr>
      <t>効果が示されなかった（</t>
    </r>
    <r>
      <rPr>
        <sz val="11"/>
        <color theme="1"/>
        <rFont val="Times New Roman"/>
        <family val="1"/>
      </rPr>
      <t>2013</t>
    </r>
    <r>
      <rPr>
        <sz val="11"/>
        <color theme="1"/>
        <rFont val="ＭＳ Ｐ明朝"/>
        <family val="1"/>
        <charset val="128"/>
      </rPr>
      <t xml:space="preserve">）。
</t>
    </r>
    <r>
      <rPr>
        <sz val="11"/>
        <color theme="1"/>
        <rFont val="Times New Roman"/>
        <family val="1"/>
      </rPr>
      <t>2015</t>
    </r>
    <r>
      <rPr>
        <sz val="11"/>
        <color theme="1"/>
        <rFont val="ＭＳ Ｐ明朝"/>
        <family val="1"/>
        <charset val="128"/>
      </rPr>
      <t>年に開発が中止された。</t>
    </r>
    <rPh sb="22" eb="23">
      <t>ダイ</t>
    </rPh>
    <rPh sb="24" eb="25">
      <t>ソウ</t>
    </rPh>
    <rPh sb="25" eb="27">
      <t>シケン</t>
    </rPh>
    <rPh sb="32" eb="34">
      <t>メンエキ</t>
    </rPh>
    <rPh sb="34" eb="36">
      <t>オウトウ</t>
    </rPh>
    <rPh sb="37" eb="39">
      <t>ユウハツ</t>
    </rPh>
    <rPh sb="40" eb="42">
      <t>カクニン</t>
    </rPh>
    <rPh sb="49" eb="51">
      <t>キタイ</t>
    </rPh>
    <rPh sb="60" eb="62">
      <t>コウカ</t>
    </rPh>
    <rPh sb="63" eb="64">
      <t>シメ</t>
    </rPh>
    <rPh sb="82" eb="83">
      <t>ネン</t>
    </rPh>
    <rPh sb="84" eb="86">
      <t>カイハツ</t>
    </rPh>
    <rPh sb="87" eb="89">
      <t>チュウシ</t>
    </rPh>
    <phoneticPr fontId="17"/>
  </si>
  <si>
    <r>
      <rPr>
        <sz val="11"/>
        <color theme="1"/>
        <rFont val="ＭＳ Ｐ明朝"/>
        <family val="1"/>
        <charset val="128"/>
      </rPr>
      <t>非臨床試験と臨床第</t>
    </r>
    <r>
      <rPr>
        <sz val="11"/>
        <color theme="1"/>
        <rFont val="Times New Roman"/>
        <family val="1"/>
      </rPr>
      <t>1b</t>
    </r>
    <r>
      <rPr>
        <sz val="11"/>
        <color theme="1"/>
        <rFont val="ＭＳ Ｐ明朝"/>
        <family val="1"/>
        <charset val="128"/>
      </rPr>
      <t xml:space="preserve">相試験より、アミロイド斑を減少させることが示された。
</t>
    </r>
    <r>
      <rPr>
        <sz val="11"/>
        <color theme="1"/>
        <rFont val="Times New Roman"/>
        <family val="1"/>
      </rPr>
      <t>2015</t>
    </r>
    <r>
      <rPr>
        <sz val="11"/>
        <color theme="1"/>
        <rFont val="ＭＳ Ｐ明朝"/>
        <family val="1"/>
        <charset val="128"/>
      </rPr>
      <t>年</t>
    </r>
    <r>
      <rPr>
        <sz val="11"/>
        <color theme="1"/>
        <rFont val="Times New Roman"/>
        <family val="1"/>
      </rPr>
      <t>8</t>
    </r>
    <r>
      <rPr>
        <sz val="11"/>
        <color theme="1"/>
        <rFont val="ＭＳ Ｐ明朝"/>
        <family val="1"/>
        <charset val="128"/>
      </rPr>
      <t>月、第</t>
    </r>
    <r>
      <rPr>
        <sz val="11"/>
        <color theme="1"/>
        <rFont val="Times New Roman"/>
        <family val="1"/>
      </rPr>
      <t>3</t>
    </r>
    <r>
      <rPr>
        <sz val="11"/>
        <color theme="1"/>
        <rFont val="ＭＳ Ｐ明朝"/>
        <family val="1"/>
        <charset val="128"/>
      </rPr>
      <t>相試験に移行した。</t>
    </r>
    <rPh sb="32" eb="33">
      <t>シメ</t>
    </rPh>
    <rPh sb="42" eb="43">
      <t>ネン</t>
    </rPh>
    <rPh sb="44" eb="45">
      <t>ガツ</t>
    </rPh>
    <rPh sb="46" eb="47">
      <t>ダイ</t>
    </rPh>
    <rPh sb="48" eb="49">
      <t>ソウ</t>
    </rPh>
    <rPh sb="49" eb="51">
      <t>シケン</t>
    </rPh>
    <rPh sb="52" eb="54">
      <t>イコウ</t>
    </rPh>
    <phoneticPr fontId="17"/>
  </si>
  <si>
    <r>
      <rPr>
        <sz val="11"/>
        <color theme="1"/>
        <rFont val="ＭＳ Ｐ明朝"/>
        <family val="1"/>
        <charset val="128"/>
      </rPr>
      <t>重症の敗血症患者を対象とした第</t>
    </r>
    <r>
      <rPr>
        <sz val="11"/>
        <color theme="1"/>
        <rFont val="Times New Roman"/>
        <family val="1"/>
      </rPr>
      <t>3</t>
    </r>
    <r>
      <rPr>
        <sz val="11"/>
        <color theme="1"/>
        <rFont val="ＭＳ Ｐ明朝"/>
        <family val="1"/>
        <charset val="128"/>
      </rPr>
      <t>相試験の結果、患者の安全性や生物活性が確認された。
また、</t>
    </r>
    <r>
      <rPr>
        <sz val="11"/>
        <color theme="1"/>
        <rFont val="Times New Roman"/>
        <family val="1"/>
      </rPr>
      <t>28</t>
    </r>
    <r>
      <rPr>
        <sz val="11"/>
        <color theme="1"/>
        <rFont val="ＭＳ Ｐ明朝"/>
        <family val="1"/>
        <charset val="128"/>
      </rPr>
      <t>日間の全死因死亡率を減少させ、高い</t>
    </r>
    <r>
      <rPr>
        <sz val="11"/>
        <color theme="1"/>
        <rFont val="Times New Roman"/>
        <family val="1"/>
      </rPr>
      <t>IL-6</t>
    </r>
    <r>
      <rPr>
        <sz val="11"/>
        <color theme="1"/>
        <rFont val="ＭＳ Ｐ明朝"/>
        <family val="1"/>
        <charset val="128"/>
      </rPr>
      <t>レベルを有する患者における臓器機能障害の重症度を軽減する事が確認された。</t>
    </r>
    <rPh sb="9" eb="11">
      <t>タイショウ</t>
    </rPh>
    <rPh sb="14" eb="15">
      <t>ダイ</t>
    </rPh>
    <rPh sb="16" eb="17">
      <t>ソウ</t>
    </rPh>
    <rPh sb="17" eb="19">
      <t>シケン</t>
    </rPh>
    <rPh sb="20" eb="22">
      <t>ケッカ</t>
    </rPh>
    <rPh sb="23" eb="25">
      <t>カンジャ</t>
    </rPh>
    <rPh sb="26" eb="28">
      <t>アンゼン</t>
    </rPh>
    <rPh sb="28" eb="29">
      <t>セイ</t>
    </rPh>
    <rPh sb="30" eb="32">
      <t>セイブツ</t>
    </rPh>
    <rPh sb="32" eb="34">
      <t>カッセイ</t>
    </rPh>
    <rPh sb="35" eb="37">
      <t>カクニン</t>
    </rPh>
    <rPh sb="47" eb="49">
      <t>ニチカン</t>
    </rPh>
    <rPh sb="50" eb="51">
      <t>ゼン</t>
    </rPh>
    <rPh sb="51" eb="53">
      <t>シイン</t>
    </rPh>
    <rPh sb="53" eb="56">
      <t>シボウリツ</t>
    </rPh>
    <rPh sb="57" eb="59">
      <t>ゲンショウ</t>
    </rPh>
    <rPh sb="62" eb="63">
      <t>タカ</t>
    </rPh>
    <rPh sb="72" eb="73">
      <t>ユウ</t>
    </rPh>
    <rPh sb="75" eb="77">
      <t>カンジャ</t>
    </rPh>
    <rPh sb="81" eb="83">
      <t>ゾウキ</t>
    </rPh>
    <rPh sb="83" eb="85">
      <t>キノウ</t>
    </rPh>
    <rPh sb="85" eb="87">
      <t>ショウガイ</t>
    </rPh>
    <rPh sb="88" eb="90">
      <t>ジュウショウ</t>
    </rPh>
    <rPh sb="90" eb="91">
      <t>ド</t>
    </rPh>
    <rPh sb="92" eb="94">
      <t>ケイゲン</t>
    </rPh>
    <rPh sb="96" eb="97">
      <t>コト</t>
    </rPh>
    <rPh sb="98" eb="100">
      <t>カクニン</t>
    </rPh>
    <phoneticPr fontId="17"/>
  </si>
  <si>
    <r>
      <rPr>
        <sz val="11"/>
        <color theme="1"/>
        <rFont val="ＭＳ Ｐ明朝"/>
        <family val="1"/>
        <charset val="128"/>
      </rPr>
      <t xml:space="preserve">オキサロプラチンを含む前治療に抵抗性となった、または前治療後に症状が進行した転移性結腸直腸がんの治療薬である。
</t>
    </r>
    <r>
      <rPr>
        <sz val="11"/>
        <color theme="1"/>
        <rFont val="Times New Roman"/>
        <family val="1"/>
      </rPr>
      <t>FOLFIRI</t>
    </r>
    <r>
      <rPr>
        <sz val="11"/>
        <color theme="1"/>
        <rFont val="ＭＳ Ｐ明朝"/>
        <family val="1"/>
        <charset val="128"/>
      </rPr>
      <t>と併用して用いられる。</t>
    </r>
    <rPh sb="9" eb="10">
      <t>フク</t>
    </rPh>
    <rPh sb="11" eb="12">
      <t>マエ</t>
    </rPh>
    <rPh sb="12" eb="14">
      <t>チリョウ</t>
    </rPh>
    <rPh sb="15" eb="18">
      <t>テイコウセイ</t>
    </rPh>
    <rPh sb="26" eb="27">
      <t>マエ</t>
    </rPh>
    <rPh sb="27" eb="29">
      <t>チリョウ</t>
    </rPh>
    <rPh sb="29" eb="30">
      <t>ゴ</t>
    </rPh>
    <rPh sb="31" eb="33">
      <t>ショウジョウ</t>
    </rPh>
    <rPh sb="34" eb="36">
      <t>シンコウ</t>
    </rPh>
    <rPh sb="38" eb="41">
      <t>テンイセイ</t>
    </rPh>
    <rPh sb="41" eb="43">
      <t>ケッチョウ</t>
    </rPh>
    <rPh sb="43" eb="45">
      <t>チョクチョウ</t>
    </rPh>
    <rPh sb="48" eb="51">
      <t>チリョウヤク</t>
    </rPh>
    <rPh sb="64" eb="66">
      <t>ヘイヨウ</t>
    </rPh>
    <rPh sb="68" eb="69">
      <t>モチ</t>
    </rPh>
    <phoneticPr fontId="17"/>
  </si>
  <si>
    <r>
      <rPr>
        <sz val="11"/>
        <color theme="1"/>
        <rFont val="ＭＳ Ｐ明朝"/>
        <family val="1"/>
        <charset val="128"/>
      </rPr>
      <t>リンパ球数（</t>
    </r>
    <r>
      <rPr>
        <sz val="11"/>
        <color theme="1"/>
        <rFont val="Times New Roman"/>
        <family val="1"/>
      </rPr>
      <t>T</t>
    </r>
    <r>
      <rPr>
        <sz val="11"/>
        <color theme="1"/>
        <rFont val="ＭＳ Ｐ明朝"/>
        <family val="1"/>
        <charset val="128"/>
      </rPr>
      <t>細胞）を減少させ、乾癬を治療するのに用いられる。</t>
    </r>
    <rPh sb="11" eb="13">
      <t>ゲンショウ</t>
    </rPh>
    <rPh sb="19" eb="21">
      <t>チリョウ</t>
    </rPh>
    <rPh sb="25" eb="26">
      <t>モチ</t>
    </rPh>
    <phoneticPr fontId="17"/>
  </si>
  <si>
    <r>
      <rPr>
        <sz val="11"/>
        <color theme="1"/>
        <rFont val="ＭＳ Ｐ明朝"/>
        <family val="1"/>
        <charset val="128"/>
      </rPr>
      <t>成人の再発寛解多発性硬化症（</t>
    </r>
    <r>
      <rPr>
        <sz val="11"/>
        <color theme="1"/>
        <rFont val="Times New Roman"/>
        <family val="1"/>
      </rPr>
      <t>RRMS</t>
    </r>
    <r>
      <rPr>
        <sz val="11"/>
        <color theme="1"/>
        <rFont val="ＭＳ Ｐ明朝"/>
        <family val="1"/>
        <charset val="128"/>
      </rPr>
      <t>）治療薬である。</t>
    </r>
    <rPh sb="0" eb="2">
      <t>セイジン</t>
    </rPh>
    <phoneticPr fontId="17"/>
  </si>
  <si>
    <t>altumomab</t>
  </si>
  <si>
    <r>
      <rPr>
        <sz val="11"/>
        <color theme="1"/>
        <rFont val="ＭＳ Ｐ明朝"/>
        <family val="1"/>
        <charset val="128"/>
      </rPr>
      <t>第</t>
    </r>
    <r>
      <rPr>
        <sz val="11"/>
        <color theme="1"/>
        <rFont val="Times New Roman"/>
        <family val="1"/>
      </rPr>
      <t>2a</t>
    </r>
    <r>
      <rPr>
        <sz val="11"/>
        <color theme="1"/>
        <rFont val="ＭＳ Ｐ明朝"/>
        <family val="1"/>
        <charset val="128"/>
      </rPr>
      <t>相試験で臨床概念が実証された。
現在、第</t>
    </r>
    <r>
      <rPr>
        <sz val="11"/>
        <color theme="1"/>
        <rFont val="Times New Roman"/>
        <family val="1"/>
      </rPr>
      <t>2b</t>
    </r>
    <r>
      <rPr>
        <sz val="11"/>
        <color theme="1"/>
        <rFont val="ＭＳ Ｐ明朝"/>
        <family val="1"/>
        <charset val="128"/>
      </rPr>
      <t>相試験が実施されている。</t>
    </r>
    <rPh sb="4" eb="6">
      <t>シケン</t>
    </rPh>
    <rPh sb="19" eb="21">
      <t>ゲンザイ</t>
    </rPh>
    <rPh sb="22" eb="23">
      <t>ダイ</t>
    </rPh>
    <rPh sb="25" eb="26">
      <t>ソウ</t>
    </rPh>
    <rPh sb="26" eb="28">
      <t>シケン</t>
    </rPh>
    <rPh sb="29" eb="31">
      <t>ジッシ</t>
    </rPh>
    <phoneticPr fontId="17"/>
  </si>
  <si>
    <r>
      <rPr>
        <sz val="11"/>
        <color theme="1"/>
        <rFont val="ＭＳ Ｐ明朝"/>
        <family val="1"/>
        <charset val="128"/>
      </rPr>
      <t>第</t>
    </r>
    <r>
      <rPr>
        <sz val="11"/>
        <color theme="1"/>
        <rFont val="Times New Roman"/>
        <family val="1"/>
      </rPr>
      <t>2</t>
    </r>
    <r>
      <rPr>
        <sz val="11"/>
        <color theme="1"/>
        <rFont val="ＭＳ Ｐ明朝"/>
        <family val="1"/>
        <charset val="128"/>
      </rPr>
      <t>相試験において、</t>
    </r>
    <r>
      <rPr>
        <sz val="11"/>
        <color theme="1"/>
        <rFont val="Times New Roman"/>
        <family val="1"/>
      </rPr>
      <t>MPM</t>
    </r>
    <r>
      <rPr>
        <sz val="11"/>
        <color theme="1"/>
        <rFont val="ＭＳ Ｐ明朝"/>
        <family val="1"/>
        <charset val="128"/>
      </rPr>
      <t>患者の無増悪生存期間の改善に失敗したものの、客観的奏効率は良好であった。
現在、無作為化、二重盲検、プラセボ対照試験が実施されている。</t>
    </r>
    <rPh sb="0" eb="1">
      <t>ダイ</t>
    </rPh>
    <rPh sb="2" eb="3">
      <t>ソウ</t>
    </rPh>
    <rPh sb="3" eb="5">
      <t>シケン</t>
    </rPh>
    <rPh sb="13" eb="15">
      <t>カンジャ</t>
    </rPh>
    <rPh sb="19" eb="21">
      <t>セイゾン</t>
    </rPh>
    <rPh sb="21" eb="23">
      <t>キカン</t>
    </rPh>
    <rPh sb="24" eb="26">
      <t>カイゼン</t>
    </rPh>
    <rPh sb="27" eb="29">
      <t>シッパイ</t>
    </rPh>
    <rPh sb="42" eb="44">
      <t>リョウコウ</t>
    </rPh>
    <rPh sb="50" eb="52">
      <t>ゲンザイ</t>
    </rPh>
    <rPh sb="72" eb="74">
      <t>ジッシ</t>
    </rPh>
    <phoneticPr fontId="17"/>
  </si>
  <si>
    <r>
      <rPr>
        <sz val="11"/>
        <color theme="1"/>
        <rFont val="ＭＳ Ｐ明朝"/>
        <family val="1"/>
        <charset val="128"/>
      </rPr>
      <t>第</t>
    </r>
    <r>
      <rPr>
        <sz val="11"/>
        <color theme="1"/>
        <rFont val="Times New Roman"/>
        <family val="1"/>
      </rPr>
      <t>2</t>
    </r>
    <r>
      <rPr>
        <sz val="11"/>
        <color theme="1"/>
        <rFont val="ＭＳ Ｐ明朝"/>
        <family val="1"/>
        <charset val="128"/>
      </rPr>
      <t xml:space="preserve">相試験で臨床概念が実証された。
</t>
    </r>
    <r>
      <rPr>
        <sz val="11"/>
        <color theme="1"/>
        <rFont val="Times New Roman"/>
        <family val="1"/>
      </rPr>
      <t>2015</t>
    </r>
    <r>
      <rPr>
        <sz val="11"/>
        <color theme="1"/>
        <rFont val="ＭＳ Ｐ明朝"/>
        <family val="1"/>
        <charset val="128"/>
      </rPr>
      <t>年</t>
    </r>
    <r>
      <rPr>
        <sz val="11"/>
        <color theme="1"/>
        <rFont val="Times New Roman"/>
        <family val="1"/>
      </rPr>
      <t>7</t>
    </r>
    <r>
      <rPr>
        <sz val="11"/>
        <color theme="1"/>
        <rFont val="ＭＳ Ｐ明朝"/>
        <family val="1"/>
        <charset val="128"/>
      </rPr>
      <t>月に、第</t>
    </r>
    <r>
      <rPr>
        <sz val="11"/>
        <color theme="1"/>
        <rFont val="Times New Roman"/>
        <family val="1"/>
      </rPr>
      <t>3</t>
    </r>
    <r>
      <rPr>
        <sz val="11"/>
        <color theme="1"/>
        <rFont val="ＭＳ Ｐ明朝"/>
        <family val="1"/>
        <charset val="128"/>
      </rPr>
      <t>相試験が開始された。</t>
    </r>
    <rPh sb="3" eb="5">
      <t>シケン</t>
    </rPh>
    <rPh sb="6" eb="8">
      <t>リンショウ</t>
    </rPh>
    <rPh sb="8" eb="10">
      <t>ガイネン</t>
    </rPh>
    <rPh sb="11" eb="13">
      <t>ジッショウ</t>
    </rPh>
    <rPh sb="22" eb="23">
      <t>ネン</t>
    </rPh>
    <rPh sb="24" eb="25">
      <t>ガツ</t>
    </rPh>
    <rPh sb="27" eb="28">
      <t>ダイ</t>
    </rPh>
    <rPh sb="29" eb="30">
      <t>ソウ</t>
    </rPh>
    <rPh sb="30" eb="32">
      <t>シケン</t>
    </rPh>
    <rPh sb="33" eb="35">
      <t>カイシ</t>
    </rPh>
    <phoneticPr fontId="17"/>
  </si>
  <si>
    <r>
      <rPr>
        <sz val="11"/>
        <color theme="1"/>
        <rFont val="ＭＳ Ｐ明朝"/>
        <family val="1"/>
        <charset val="128"/>
      </rPr>
      <t>第</t>
    </r>
    <r>
      <rPr>
        <sz val="11"/>
        <color theme="1"/>
        <rFont val="Times New Roman"/>
        <family val="1"/>
      </rPr>
      <t>2</t>
    </r>
    <r>
      <rPr>
        <sz val="11"/>
        <color theme="1"/>
        <rFont val="ＭＳ Ｐ明朝"/>
        <family val="1"/>
        <charset val="128"/>
      </rPr>
      <t>相国際共同治験である</t>
    </r>
    <r>
      <rPr>
        <sz val="11"/>
        <color theme="1"/>
        <rFont val="Times New Roman"/>
        <family val="1"/>
      </rPr>
      <t>BIRCH</t>
    </r>
    <r>
      <rPr>
        <sz val="11"/>
        <color theme="1"/>
        <rFont val="ＭＳ Ｐ明朝"/>
        <family val="1"/>
        <charset val="128"/>
      </rPr>
      <t>試験において、</t>
    </r>
    <r>
      <rPr>
        <sz val="11"/>
        <color theme="1"/>
        <rFont val="Times New Roman"/>
        <family val="1"/>
      </rPr>
      <t>PD-L1</t>
    </r>
    <r>
      <rPr>
        <sz val="11"/>
        <color theme="1"/>
        <rFont val="ＭＳ Ｐ明朝"/>
        <family val="1"/>
        <charset val="128"/>
      </rPr>
      <t>陽性の局所進行または転移性の非小細胞肺がん（</t>
    </r>
    <r>
      <rPr>
        <sz val="11"/>
        <color theme="1"/>
        <rFont val="Times New Roman"/>
        <family val="1"/>
      </rPr>
      <t>NSCLC</t>
    </r>
    <r>
      <rPr>
        <sz val="11"/>
        <color theme="1"/>
        <rFont val="ＭＳ Ｐ明朝"/>
        <family val="1"/>
        <charset val="128"/>
      </rPr>
      <t xml:space="preserve">）患者の腫瘍縮小を達成した。
</t>
    </r>
    <r>
      <rPr>
        <sz val="11"/>
        <color theme="1"/>
        <rFont val="Times New Roman"/>
        <family val="1"/>
      </rPr>
      <t>PD-L1</t>
    </r>
    <r>
      <rPr>
        <sz val="11"/>
        <color theme="1"/>
        <rFont val="ＭＳ Ｐ明朝"/>
        <family val="1"/>
        <charset val="128"/>
      </rPr>
      <t>発現量と抗腫瘍効果の相関性が示された。
現在、第</t>
    </r>
    <r>
      <rPr>
        <sz val="11"/>
        <color theme="1"/>
        <rFont val="Times New Roman"/>
        <family val="1"/>
      </rPr>
      <t>3</t>
    </r>
    <r>
      <rPr>
        <sz val="11"/>
        <color theme="1"/>
        <rFont val="ＭＳ Ｐ明朝"/>
        <family val="1"/>
        <charset val="128"/>
      </rPr>
      <t>相試験が実施されている。</t>
    </r>
    <rPh sb="90" eb="91">
      <t>シメ</t>
    </rPh>
    <rPh sb="96" eb="98">
      <t>ゲンザイ</t>
    </rPh>
    <rPh sb="99" eb="100">
      <t>ダイ</t>
    </rPh>
    <rPh sb="101" eb="102">
      <t>ソウ</t>
    </rPh>
    <rPh sb="102" eb="104">
      <t>シケン</t>
    </rPh>
    <rPh sb="105" eb="107">
      <t>ジッシ</t>
    </rPh>
    <phoneticPr fontId="17"/>
  </si>
  <si>
    <r>
      <rPr>
        <sz val="11"/>
        <color theme="1"/>
        <rFont val="ＭＳ Ｐ明朝"/>
        <family val="1"/>
        <charset val="128"/>
      </rPr>
      <t>第</t>
    </r>
    <r>
      <rPr>
        <sz val="11"/>
        <color theme="1"/>
        <rFont val="Times New Roman"/>
        <family val="1"/>
      </rPr>
      <t>3</t>
    </r>
    <r>
      <rPr>
        <sz val="11"/>
        <color theme="1"/>
        <rFont val="ＭＳ Ｐ明朝"/>
        <family val="1"/>
        <charset val="128"/>
      </rPr>
      <t>相試験において、認知及び機能的転帰のどちらにも治療効果が示されなかったため、開発が中止された。</t>
    </r>
    <rPh sb="0" eb="1">
      <t>ダイ</t>
    </rPh>
    <rPh sb="2" eb="3">
      <t>ソウ</t>
    </rPh>
    <rPh sb="3" eb="5">
      <t>シケン</t>
    </rPh>
    <rPh sb="10" eb="12">
      <t>ニンチ</t>
    </rPh>
    <rPh sb="12" eb="13">
      <t>オヨ</t>
    </rPh>
    <rPh sb="14" eb="17">
      <t>キノウテキ</t>
    </rPh>
    <rPh sb="17" eb="19">
      <t>テンキ</t>
    </rPh>
    <rPh sb="25" eb="27">
      <t>チリョウ</t>
    </rPh>
    <rPh sb="27" eb="29">
      <t>コウカ</t>
    </rPh>
    <rPh sb="30" eb="31">
      <t>シメ</t>
    </rPh>
    <rPh sb="40" eb="42">
      <t>カイハツ</t>
    </rPh>
    <rPh sb="43" eb="45">
      <t>チュウシ</t>
    </rPh>
    <phoneticPr fontId="17"/>
  </si>
  <si>
    <r>
      <t>T</t>
    </r>
    <r>
      <rPr>
        <sz val="11"/>
        <color theme="1"/>
        <rFont val="ＭＳ Ｐ明朝"/>
        <family val="1"/>
        <charset val="128"/>
      </rPr>
      <t>細胞の</t>
    </r>
    <r>
      <rPr>
        <sz val="11"/>
        <color theme="1"/>
        <rFont val="Times New Roman"/>
        <family val="1"/>
      </rPr>
      <t>IL-2Rα</t>
    </r>
    <r>
      <rPr>
        <sz val="11"/>
        <color theme="1"/>
        <rFont val="ＭＳ Ｐ明朝"/>
        <family val="1"/>
        <charset val="128"/>
      </rPr>
      <t>のはたらきを阻害し、腎移植後の急性拒絶反応を抑制する医薬品である。</t>
    </r>
    <rPh sb="1" eb="3">
      <t>サイボウ</t>
    </rPh>
    <rPh sb="16" eb="18">
      <t>ソガイ</t>
    </rPh>
    <rPh sb="36" eb="39">
      <t>イヤクヒン</t>
    </rPh>
    <phoneticPr fontId="17"/>
  </si>
  <si>
    <r>
      <rPr>
        <sz val="11"/>
        <color theme="1"/>
        <rFont val="ＭＳ Ｐ明朝"/>
        <family val="1"/>
        <charset val="128"/>
      </rPr>
      <t>第</t>
    </r>
    <r>
      <rPr>
        <sz val="11"/>
        <color theme="1"/>
        <rFont val="Times New Roman"/>
        <family val="1"/>
      </rPr>
      <t>2</t>
    </r>
    <r>
      <rPr>
        <sz val="11"/>
        <color theme="1"/>
        <rFont val="ＭＳ Ｐ明朝"/>
        <family val="1"/>
        <charset val="128"/>
      </rPr>
      <t>相試験の無作為化、二重盲検、プラセボ対照試験において、各有害事象に対して良好な結果が示された。
現在、第</t>
    </r>
    <r>
      <rPr>
        <sz val="11"/>
        <color theme="1"/>
        <rFont val="Times New Roman"/>
        <family val="1"/>
      </rPr>
      <t>3</t>
    </r>
    <r>
      <rPr>
        <sz val="11"/>
        <color theme="1"/>
        <rFont val="ＭＳ Ｐ明朝"/>
        <family val="1"/>
        <charset val="128"/>
      </rPr>
      <t>相試験が実施されている。</t>
    </r>
    <rPh sb="22" eb="24">
      <t>シケン</t>
    </rPh>
    <rPh sb="29" eb="30">
      <t>カク</t>
    </rPh>
    <rPh sb="30" eb="32">
      <t>ユウガイ</t>
    </rPh>
    <rPh sb="32" eb="34">
      <t>ジショウ</t>
    </rPh>
    <rPh sb="35" eb="36">
      <t>タイ</t>
    </rPh>
    <rPh sb="38" eb="40">
      <t>リョウコウ</t>
    </rPh>
    <rPh sb="41" eb="43">
      <t>ケッカ</t>
    </rPh>
    <rPh sb="44" eb="45">
      <t>シメ</t>
    </rPh>
    <rPh sb="50" eb="52">
      <t>ゲンザイ</t>
    </rPh>
    <rPh sb="53" eb="54">
      <t>ダイ</t>
    </rPh>
    <rPh sb="55" eb="56">
      <t>ソウ</t>
    </rPh>
    <rPh sb="56" eb="58">
      <t>シケン</t>
    </rPh>
    <rPh sb="59" eb="61">
      <t>ジッシ</t>
    </rPh>
    <phoneticPr fontId="17"/>
  </si>
  <si>
    <r>
      <rPr>
        <sz val="11"/>
        <color theme="1"/>
        <rFont val="ＭＳ Ｐ明朝"/>
        <family val="1"/>
        <charset val="128"/>
      </rPr>
      <t>パイロット研究と容量設定研究の</t>
    </r>
    <r>
      <rPr>
        <sz val="11"/>
        <color theme="1"/>
        <rFont val="Times New Roman"/>
        <family val="1"/>
      </rPr>
      <t>2</t>
    </r>
    <r>
      <rPr>
        <sz val="11"/>
        <color theme="1"/>
        <rFont val="ＭＳ Ｐ明朝"/>
        <family val="1"/>
        <charset val="128"/>
      </rPr>
      <t>つの完成臨床試験を実施したところ、有効性、安全性および忍容性が示された。
現在、第</t>
    </r>
    <r>
      <rPr>
        <sz val="11"/>
        <color theme="1"/>
        <rFont val="Times New Roman"/>
        <family val="1"/>
      </rPr>
      <t>2/3</t>
    </r>
    <r>
      <rPr>
        <sz val="11"/>
        <color theme="1"/>
        <rFont val="ＭＳ Ｐ明朝"/>
        <family val="1"/>
        <charset val="128"/>
      </rPr>
      <t>相試験が実施されている。</t>
    </r>
    <rPh sb="5" eb="7">
      <t>ケンキュウ</t>
    </rPh>
    <rPh sb="8" eb="10">
      <t>ヨウリョウ</t>
    </rPh>
    <rPh sb="10" eb="12">
      <t>セッテイ</t>
    </rPh>
    <rPh sb="12" eb="14">
      <t>ケンキュウ</t>
    </rPh>
    <rPh sb="25" eb="27">
      <t>ジッシ</t>
    </rPh>
    <rPh sb="53" eb="55">
      <t>ゲンザイ</t>
    </rPh>
    <rPh sb="56" eb="57">
      <t>ダイ</t>
    </rPh>
    <rPh sb="60" eb="61">
      <t>ソウ</t>
    </rPh>
    <rPh sb="64" eb="66">
      <t>ジッシ</t>
    </rPh>
    <phoneticPr fontId="17"/>
  </si>
  <si>
    <r>
      <rPr>
        <sz val="11"/>
        <color theme="1"/>
        <rFont val="ＭＳ Ｐ明朝"/>
        <family val="1"/>
        <charset val="128"/>
      </rPr>
      <t>主に関節リウマチ薬として用いられる。
移植片対宿主病、同種移植片拒絶の治療にも用いられる。</t>
    </r>
    <rPh sb="0" eb="1">
      <t>オモ</t>
    </rPh>
    <rPh sb="8" eb="9">
      <t>ヤク</t>
    </rPh>
    <rPh sb="12" eb="13">
      <t>モチ</t>
    </rPh>
    <rPh sb="35" eb="37">
      <t>チリョウ</t>
    </rPh>
    <rPh sb="39" eb="40">
      <t>モチ</t>
    </rPh>
    <phoneticPr fontId="17"/>
  </si>
  <si>
    <r>
      <rPr>
        <sz val="11"/>
        <color theme="1"/>
        <rFont val="ＭＳ Ｐ明朝"/>
        <family val="1"/>
        <charset val="128"/>
      </rPr>
      <t>第</t>
    </r>
    <r>
      <rPr>
        <sz val="11"/>
        <color theme="1"/>
        <rFont val="Times New Roman"/>
        <family val="1"/>
      </rPr>
      <t>2b</t>
    </r>
    <r>
      <rPr>
        <sz val="11"/>
        <color theme="1"/>
        <rFont val="ＭＳ Ｐ明朝"/>
        <family val="1"/>
        <charset val="128"/>
      </rPr>
      <t>相試験においてプラセボ投与群と比較し、喘息増悪率において統計的に有意な減少を示した他、肺機能と喘息コントロールの改善が見られた。
現在、第</t>
    </r>
    <r>
      <rPr>
        <sz val="11"/>
        <color theme="1"/>
        <rFont val="Times New Roman"/>
        <family val="1"/>
      </rPr>
      <t>3</t>
    </r>
    <r>
      <rPr>
        <sz val="11"/>
        <color theme="1"/>
        <rFont val="ＭＳ Ｐ明朝"/>
        <family val="1"/>
        <charset val="128"/>
      </rPr>
      <t>相試験において、重症またはコントロール不良の喘息及び</t>
    </r>
    <r>
      <rPr>
        <sz val="11"/>
        <color theme="1"/>
        <rFont val="Times New Roman"/>
        <family val="1"/>
      </rPr>
      <t>COPD</t>
    </r>
    <r>
      <rPr>
        <sz val="11"/>
        <color theme="1"/>
        <rFont val="ＭＳ Ｐ明朝"/>
        <family val="1"/>
        <charset val="128"/>
      </rPr>
      <t>の適応について臨床中である。</t>
    </r>
    <rPh sb="44" eb="45">
      <t>ホカ</t>
    </rPh>
    <rPh sb="46" eb="47">
      <t>ハイ</t>
    </rPh>
    <rPh sb="47" eb="49">
      <t>キノウ</t>
    </rPh>
    <rPh sb="50" eb="52">
      <t>ゼンソク</t>
    </rPh>
    <rPh sb="59" eb="61">
      <t>カイゼン</t>
    </rPh>
    <rPh sb="62" eb="63">
      <t>ミ</t>
    </rPh>
    <rPh sb="68" eb="70">
      <t>ゲンザイ</t>
    </rPh>
    <rPh sb="71" eb="72">
      <t>ダイ</t>
    </rPh>
    <rPh sb="73" eb="74">
      <t>ソウ</t>
    </rPh>
    <rPh sb="74" eb="76">
      <t>シケン</t>
    </rPh>
    <rPh sb="97" eb="98">
      <t>オヨ</t>
    </rPh>
    <rPh sb="110" eb="112">
      <t>リンショウ</t>
    </rPh>
    <rPh sb="112" eb="113">
      <t>チュウ</t>
    </rPh>
    <phoneticPr fontId="17"/>
  </si>
  <si>
    <r>
      <rPr>
        <sz val="11"/>
        <color theme="1"/>
        <rFont val="ＭＳ Ｐ明朝"/>
        <family val="1"/>
        <charset val="128"/>
      </rPr>
      <t>骨髄炎の成人患者に対し、感染または炎症領域の特定に用いられる診断薬である。
使用前に</t>
    </r>
    <r>
      <rPr>
        <sz val="11"/>
        <color theme="1"/>
        <rFont val="Times New Roman"/>
        <family val="1"/>
      </rPr>
      <t>99mTc</t>
    </r>
    <r>
      <rPr>
        <sz val="11"/>
        <color theme="1"/>
        <rFont val="ＭＳ Ｐ明朝"/>
        <family val="1"/>
        <charset val="128"/>
      </rPr>
      <t>で標識する。
糖尿病性足部感染症の診断には使用できない。</t>
    </r>
    <rPh sb="6" eb="8">
      <t>カンジャ</t>
    </rPh>
    <rPh sb="9" eb="10">
      <t>タイ</t>
    </rPh>
    <rPh sb="25" eb="26">
      <t>モチ</t>
    </rPh>
    <rPh sb="30" eb="32">
      <t>シンダン</t>
    </rPh>
    <rPh sb="32" eb="33">
      <t>ヤク</t>
    </rPh>
    <rPh sb="38" eb="40">
      <t>シヨウ</t>
    </rPh>
    <rPh sb="40" eb="41">
      <t>マエ</t>
    </rPh>
    <rPh sb="48" eb="50">
      <t>ヒョウシキ</t>
    </rPh>
    <rPh sb="64" eb="66">
      <t>シンダン</t>
    </rPh>
    <rPh sb="68" eb="70">
      <t>シヨウ</t>
    </rPh>
    <phoneticPr fontId="17"/>
  </si>
  <si>
    <r>
      <rPr>
        <sz val="11"/>
        <color theme="1"/>
        <rFont val="ＭＳ Ｐ明朝"/>
        <family val="1"/>
        <charset val="128"/>
      </rPr>
      <t>結腸直腸がん、転移性大腸がん、膠芽腫、転移及び再発非小細胞肺がん、再発した原発性腹膜がん、転移腎細胞がんの治療に用いられる。
他の抗悪性腫瘍剤と併用して用いられる。</t>
    </r>
    <rPh sb="7" eb="10">
      <t>テンイセイ</t>
    </rPh>
    <rPh sb="10" eb="12">
      <t>ダイチョウ</t>
    </rPh>
    <rPh sb="21" eb="22">
      <t>オヨ</t>
    </rPh>
    <rPh sb="45" eb="47">
      <t>テンイ</t>
    </rPh>
    <rPh sb="53" eb="55">
      <t>チリョウ</t>
    </rPh>
    <rPh sb="56" eb="57">
      <t>モチ</t>
    </rPh>
    <rPh sb="72" eb="74">
      <t>ヘイヨウ</t>
    </rPh>
    <rPh sb="76" eb="77">
      <t>モチ</t>
    </rPh>
    <phoneticPr fontId="17"/>
  </si>
  <si>
    <r>
      <rPr>
        <sz val="11"/>
        <color theme="1"/>
        <rFont val="ＭＳ Ｐ明朝"/>
        <family val="1"/>
        <charset val="128"/>
      </rPr>
      <t>股関節骨折手術後の筋萎縮患者に対する有効性を評価する第</t>
    </r>
    <r>
      <rPr>
        <sz val="11"/>
        <color theme="1"/>
        <rFont val="Times New Roman"/>
        <family val="1"/>
      </rPr>
      <t>3</t>
    </r>
    <r>
      <rPr>
        <sz val="11"/>
        <color theme="1"/>
        <rFont val="ＭＳ Ｐ明朝"/>
        <family val="1"/>
        <charset val="128"/>
      </rPr>
      <t>相試験が実施されている。</t>
    </r>
    <rPh sb="15" eb="16">
      <t>タイ</t>
    </rPh>
    <rPh sb="18" eb="21">
      <t>ユウコウセイ</t>
    </rPh>
    <rPh sb="22" eb="24">
      <t>ヒョウカ</t>
    </rPh>
    <rPh sb="26" eb="27">
      <t>ダイ</t>
    </rPh>
    <rPh sb="28" eb="31">
      <t>ソウシケン</t>
    </rPh>
    <rPh sb="32" eb="34">
      <t>ジッシ</t>
    </rPh>
    <phoneticPr fontId="17"/>
  </si>
  <si>
    <r>
      <rPr>
        <sz val="11"/>
        <color theme="1"/>
        <rFont val="ＭＳ Ｐ明朝"/>
        <family val="1"/>
        <charset val="128"/>
      </rPr>
      <t>第</t>
    </r>
    <r>
      <rPr>
        <sz val="11"/>
        <color theme="1"/>
        <rFont val="Times New Roman"/>
        <family val="1"/>
      </rPr>
      <t>2</t>
    </r>
    <r>
      <rPr>
        <sz val="11"/>
        <color theme="1"/>
        <rFont val="ＭＳ Ｐ明朝"/>
        <family val="1"/>
        <charset val="128"/>
      </rPr>
      <t xml:space="preserve">相試験の無作為化、プラセボ対照、容量設定試験において、各有害事象や重篤な有害に対して良好な結果が示された。
</t>
    </r>
    <r>
      <rPr>
        <sz val="11"/>
        <color theme="1"/>
        <rFont val="Times New Roman"/>
        <family val="1"/>
      </rPr>
      <t>2013</t>
    </r>
    <r>
      <rPr>
        <sz val="11"/>
        <color theme="1"/>
        <rFont val="ＭＳ Ｐ明朝"/>
        <family val="1"/>
        <charset val="128"/>
      </rPr>
      <t>年</t>
    </r>
    <r>
      <rPr>
        <sz val="11"/>
        <color theme="1"/>
        <rFont val="Times New Roman"/>
        <family val="1"/>
      </rPr>
      <t>10</t>
    </r>
    <r>
      <rPr>
        <sz val="11"/>
        <color theme="1"/>
        <rFont val="ＭＳ Ｐ明朝"/>
        <family val="1"/>
        <charset val="128"/>
      </rPr>
      <t>月より、第</t>
    </r>
    <r>
      <rPr>
        <sz val="11"/>
        <color theme="1"/>
        <rFont val="Times New Roman"/>
        <family val="1"/>
      </rPr>
      <t>3</t>
    </r>
    <r>
      <rPr>
        <sz val="11"/>
        <color theme="1"/>
        <rFont val="ＭＳ Ｐ明朝"/>
        <family val="1"/>
        <charset val="128"/>
      </rPr>
      <t>相試験が実施されている。</t>
    </r>
    <rPh sb="18" eb="20">
      <t>ヨウリョウ</t>
    </rPh>
    <rPh sb="20" eb="22">
      <t>セッテイ</t>
    </rPh>
    <rPh sb="22" eb="24">
      <t>シケン</t>
    </rPh>
    <rPh sb="29" eb="30">
      <t>カク</t>
    </rPh>
    <rPh sb="30" eb="32">
      <t>ユウガイ</t>
    </rPh>
    <rPh sb="32" eb="34">
      <t>ジショウ</t>
    </rPh>
    <rPh sb="35" eb="37">
      <t>ジュウトク</t>
    </rPh>
    <rPh sb="38" eb="40">
      <t>ユウガイ</t>
    </rPh>
    <rPh sb="41" eb="42">
      <t>タイ</t>
    </rPh>
    <rPh sb="44" eb="46">
      <t>リョウコウ</t>
    </rPh>
    <rPh sb="47" eb="49">
      <t>ケッカ</t>
    </rPh>
    <rPh sb="50" eb="51">
      <t>シメ</t>
    </rPh>
    <rPh sb="60" eb="61">
      <t>ネン</t>
    </rPh>
    <rPh sb="63" eb="64">
      <t>ガツ</t>
    </rPh>
    <rPh sb="67" eb="68">
      <t>ダイ</t>
    </rPh>
    <rPh sb="69" eb="70">
      <t>ソウ</t>
    </rPh>
    <rPh sb="70" eb="72">
      <t>シケン</t>
    </rPh>
    <rPh sb="73" eb="75">
      <t>ジッシ</t>
    </rPh>
    <phoneticPr fontId="17"/>
  </si>
  <si>
    <r>
      <t>CD30</t>
    </r>
    <r>
      <rPr>
        <sz val="11"/>
        <color theme="1"/>
        <rFont val="ＭＳ Ｐ明朝"/>
        <family val="1"/>
        <charset val="128"/>
      </rPr>
      <t>を標的とするホジキンリンパ腫、及び</t>
    </r>
    <r>
      <rPr>
        <sz val="11"/>
        <color theme="1"/>
        <rFont val="Times New Roman"/>
        <family val="1"/>
      </rPr>
      <t>CD30</t>
    </r>
    <r>
      <rPr>
        <sz val="11"/>
        <color theme="1"/>
        <rFont val="ＭＳ Ｐ明朝"/>
        <family val="1"/>
        <charset val="128"/>
      </rPr>
      <t>陽性の血液悪性腫瘍治療薬である。</t>
    </r>
    <rPh sb="19" eb="20">
      <t>オヨ</t>
    </rPh>
    <phoneticPr fontId="17"/>
  </si>
  <si>
    <r>
      <t>ustekinumab</t>
    </r>
    <r>
      <rPr>
        <sz val="11"/>
        <color theme="1"/>
        <rFont val="ＭＳ Ｐ明朝"/>
        <family val="1"/>
        <charset val="128"/>
      </rPr>
      <t>とプラセボとの比較試験を行う第</t>
    </r>
    <r>
      <rPr>
        <sz val="11"/>
        <color theme="1"/>
        <rFont val="Times New Roman"/>
        <family val="1"/>
      </rPr>
      <t>3</t>
    </r>
    <r>
      <rPr>
        <sz val="11"/>
        <color theme="1"/>
        <rFont val="ＭＳ Ｐ明朝"/>
        <family val="1"/>
        <charset val="128"/>
      </rPr>
      <t>相試験において、</t>
    </r>
    <r>
      <rPr>
        <sz val="11"/>
        <color theme="1"/>
        <rFont val="Times New Roman"/>
        <family val="1"/>
      </rPr>
      <t>12</t>
    </r>
    <r>
      <rPr>
        <sz val="11"/>
        <color theme="1"/>
        <rFont val="ＭＳ Ｐ明朝"/>
        <family val="1"/>
        <charset val="128"/>
      </rPr>
      <t>週目に</t>
    </r>
    <r>
      <rPr>
        <sz val="11"/>
        <color theme="1"/>
        <rFont val="Times New Roman"/>
        <family val="1"/>
      </rPr>
      <t>ustekinumab</t>
    </r>
    <r>
      <rPr>
        <sz val="11"/>
        <color theme="1"/>
        <rFont val="ＭＳ Ｐ明朝"/>
        <family val="1"/>
        <charset val="128"/>
      </rPr>
      <t>を越える優位性が示された。
試験の結果、中等度から重度の感染患者に対して優位な臨床改善がみられた。</t>
    </r>
    <rPh sb="25" eb="26">
      <t>ダイ</t>
    </rPh>
    <rPh sb="27" eb="28">
      <t>ソウ</t>
    </rPh>
    <rPh sb="28" eb="30">
      <t>シケン</t>
    </rPh>
    <rPh sb="37" eb="38">
      <t>シュウ</t>
    </rPh>
    <rPh sb="38" eb="39">
      <t>メ</t>
    </rPh>
    <rPh sb="52" eb="53">
      <t>コ</t>
    </rPh>
    <rPh sb="55" eb="58">
      <t>ユウイセイ</t>
    </rPh>
    <rPh sb="59" eb="60">
      <t>シメ</t>
    </rPh>
    <rPh sb="65" eb="67">
      <t>シケン</t>
    </rPh>
    <rPh sb="68" eb="70">
      <t>ケッカ</t>
    </rPh>
    <rPh sb="76" eb="78">
      <t>ジュウド</t>
    </rPh>
    <rPh sb="79" eb="81">
      <t>カンセン</t>
    </rPh>
    <rPh sb="81" eb="83">
      <t>カンジャ</t>
    </rPh>
    <rPh sb="84" eb="85">
      <t>タイ</t>
    </rPh>
    <rPh sb="87" eb="89">
      <t>ユウイ</t>
    </rPh>
    <rPh sb="90" eb="92">
      <t>リンショウ</t>
    </rPh>
    <rPh sb="92" eb="94">
      <t>カイゼン</t>
    </rPh>
    <phoneticPr fontId="17"/>
  </si>
  <si>
    <r>
      <rPr>
        <sz val="11"/>
        <color theme="1"/>
        <rFont val="ＭＳ Ｐ明朝"/>
        <family val="1"/>
        <charset val="128"/>
      </rPr>
      <t>マックル・ウェルズ症候群、及び関節リウマチ治療薬である。</t>
    </r>
    <rPh sb="13" eb="14">
      <t>オヨ</t>
    </rPh>
    <phoneticPr fontId="17"/>
  </si>
  <si>
    <r>
      <rPr>
        <sz val="11"/>
        <color theme="1"/>
        <rFont val="ＭＳ Ｐ明朝"/>
        <family val="1"/>
        <charset val="128"/>
      </rPr>
      <t xml:space="preserve">関節リウマチ、及びクローン病治療薬である。
</t>
    </r>
    <r>
      <rPr>
        <sz val="11"/>
        <color theme="1"/>
        <rFont val="Times New Roman"/>
        <family val="1"/>
      </rPr>
      <t>Abatacept</t>
    </r>
    <r>
      <rPr>
        <sz val="11"/>
        <color theme="1"/>
        <rFont val="ＭＳ Ｐ明朝"/>
        <family val="1"/>
        <charset val="128"/>
      </rPr>
      <t>との併用はできない。</t>
    </r>
    <rPh sb="0" eb="2">
      <t>カンセツ</t>
    </rPh>
    <rPh sb="7" eb="8">
      <t>オヨ</t>
    </rPh>
    <rPh sb="13" eb="14">
      <t>ビョウ</t>
    </rPh>
    <rPh sb="14" eb="17">
      <t>チリョウヤク</t>
    </rPh>
    <rPh sb="33" eb="35">
      <t>ヘイヨウ</t>
    </rPh>
    <phoneticPr fontId="17"/>
  </si>
  <si>
    <r>
      <rPr>
        <sz val="11"/>
        <color theme="1"/>
        <rFont val="ＭＳ Ｐ明朝"/>
        <family val="1"/>
        <charset val="128"/>
      </rPr>
      <t>頭頸部がん、大腸がん治療薬である。
日本において効果の検証は為されていないが、</t>
    </r>
    <r>
      <rPr>
        <sz val="11"/>
        <color theme="1"/>
        <rFont val="Times New Roman"/>
        <family val="1"/>
      </rPr>
      <t>irinotecan</t>
    </r>
    <r>
      <rPr>
        <sz val="11"/>
        <color theme="1"/>
        <rFont val="ＭＳ Ｐ明朝"/>
        <family val="1"/>
        <charset val="128"/>
      </rPr>
      <t>と併用される事がある。</t>
    </r>
    <rPh sb="18" eb="20">
      <t>ニッポン</t>
    </rPh>
    <rPh sb="24" eb="26">
      <t>コウカ</t>
    </rPh>
    <rPh sb="27" eb="29">
      <t>ケンショウ</t>
    </rPh>
    <rPh sb="30" eb="31">
      <t>ナ</t>
    </rPh>
    <rPh sb="50" eb="52">
      <t>ヘイヨウ</t>
    </rPh>
    <rPh sb="55" eb="56">
      <t>コト</t>
    </rPh>
    <phoneticPr fontId="17"/>
  </si>
  <si>
    <r>
      <rPr>
        <sz val="11"/>
        <color theme="1"/>
        <rFont val="ＭＳ Ｐ明朝"/>
        <family val="1"/>
        <charset val="128"/>
      </rPr>
      <t>軽度から中等度のアルツハイマー病患者を対象に第</t>
    </r>
    <r>
      <rPr>
        <sz val="11"/>
        <color theme="1"/>
        <rFont val="Times New Roman"/>
        <family val="1"/>
      </rPr>
      <t>2</t>
    </r>
    <r>
      <rPr>
        <sz val="11"/>
        <color theme="1"/>
        <rFont val="ＭＳ Ｐ明朝"/>
        <family val="1"/>
        <charset val="128"/>
      </rPr>
      <t>相試験を行ったところ、共同主要評価項目を満たしていなかっものの軽度の患者で一定の治療効果が見られた。</t>
    </r>
    <rPh sb="16" eb="18">
      <t>カンジャ</t>
    </rPh>
    <rPh sb="19" eb="21">
      <t>タイショウ</t>
    </rPh>
    <rPh sb="22" eb="23">
      <t>ダイ</t>
    </rPh>
    <rPh sb="24" eb="25">
      <t>ソウ</t>
    </rPh>
    <rPh sb="25" eb="27">
      <t>シケン</t>
    </rPh>
    <rPh sb="28" eb="29">
      <t>オコナ</t>
    </rPh>
    <rPh sb="55" eb="57">
      <t>ケイド</t>
    </rPh>
    <rPh sb="58" eb="60">
      <t>カンジャ</t>
    </rPh>
    <rPh sb="61" eb="63">
      <t>イッテイ</t>
    </rPh>
    <rPh sb="64" eb="66">
      <t>チリョウ</t>
    </rPh>
    <rPh sb="66" eb="68">
      <t>コウカ</t>
    </rPh>
    <rPh sb="69" eb="70">
      <t>ミ</t>
    </rPh>
    <phoneticPr fontId="17"/>
  </si>
  <si>
    <r>
      <rPr>
        <sz val="11"/>
        <color theme="1"/>
        <rFont val="ＭＳ Ｐ明朝"/>
        <family val="1"/>
        <charset val="128"/>
      </rPr>
      <t>ホフマン・ラ・ロシュから販売されていたが、商業的な理由から</t>
    </r>
    <r>
      <rPr>
        <sz val="11"/>
        <color theme="1"/>
        <rFont val="Times New Roman"/>
        <family val="1"/>
      </rPr>
      <t>2008</t>
    </r>
    <r>
      <rPr>
        <sz val="11"/>
        <color theme="1"/>
        <rFont val="ＭＳ Ｐ明朝"/>
        <family val="1"/>
        <charset val="128"/>
      </rPr>
      <t>年に</t>
    </r>
    <r>
      <rPr>
        <sz val="11"/>
        <color theme="1"/>
        <rFont val="Times New Roman"/>
        <family val="1"/>
      </rPr>
      <t>EU</t>
    </r>
    <r>
      <rPr>
        <sz val="11"/>
        <color theme="1"/>
        <rFont val="ＭＳ Ｐ明朝"/>
        <family val="1"/>
        <charset val="128"/>
      </rPr>
      <t>で、</t>
    </r>
    <r>
      <rPr>
        <sz val="11"/>
        <color theme="1"/>
        <rFont val="Times New Roman"/>
        <family val="1"/>
      </rPr>
      <t>2009</t>
    </r>
    <r>
      <rPr>
        <sz val="11"/>
        <color theme="1"/>
        <rFont val="ＭＳ Ｐ明朝"/>
        <family val="1"/>
        <charset val="128"/>
      </rPr>
      <t>年にアメリカで認可が取り下げられた。</t>
    </r>
    <rPh sb="12" eb="14">
      <t>ハンバイ</t>
    </rPh>
    <rPh sb="50" eb="52">
      <t>ニンカ</t>
    </rPh>
    <rPh sb="53" eb="54">
      <t>ト</t>
    </rPh>
    <rPh sb="55" eb="56">
      <t>サ</t>
    </rPh>
    <phoneticPr fontId="17"/>
  </si>
  <si>
    <r>
      <t>2014</t>
    </r>
    <r>
      <rPr>
        <sz val="11"/>
        <color theme="1"/>
        <rFont val="ＭＳ Ｐ明朝"/>
        <family val="1"/>
        <charset val="128"/>
      </rPr>
      <t>年</t>
    </r>
    <r>
      <rPr>
        <sz val="11"/>
        <color theme="1"/>
        <rFont val="Times New Roman"/>
        <family val="1"/>
      </rPr>
      <t>7</t>
    </r>
    <r>
      <rPr>
        <sz val="11"/>
        <color theme="1"/>
        <rFont val="ＭＳ Ｐ明朝"/>
        <family val="1"/>
        <charset val="128"/>
      </rPr>
      <t>月、第</t>
    </r>
    <r>
      <rPr>
        <sz val="11"/>
        <color theme="1"/>
        <rFont val="Times New Roman"/>
        <family val="1"/>
      </rPr>
      <t>2</t>
    </r>
    <r>
      <rPr>
        <sz val="11"/>
        <color theme="1"/>
        <rFont val="ＭＳ Ｐ明朝"/>
        <family val="1"/>
        <charset val="128"/>
      </rPr>
      <t>相試験において、期待されていた軽度から中等度のアルツハイマー病に対する主要評価項目を満たさなかったことが示された。</t>
    </r>
    <rPh sb="4" eb="5">
      <t>ネン</t>
    </rPh>
    <rPh sb="6" eb="7">
      <t>ガツ</t>
    </rPh>
    <rPh sb="8" eb="9">
      <t>ダイ</t>
    </rPh>
    <rPh sb="10" eb="11">
      <t>ソウ</t>
    </rPh>
    <rPh sb="11" eb="13">
      <t>シケン</t>
    </rPh>
    <rPh sb="18" eb="20">
      <t>キタイ</t>
    </rPh>
    <rPh sb="25" eb="27">
      <t>ケイド</t>
    </rPh>
    <rPh sb="40" eb="41">
      <t>ビョウ</t>
    </rPh>
    <rPh sb="42" eb="43">
      <t>タイ</t>
    </rPh>
    <rPh sb="45" eb="47">
      <t>シュヨウ</t>
    </rPh>
    <rPh sb="47" eb="49">
      <t>ヒョウカ</t>
    </rPh>
    <rPh sb="49" eb="51">
      <t>コウモク</t>
    </rPh>
    <rPh sb="52" eb="53">
      <t>ミ</t>
    </rPh>
    <phoneticPr fontId="17"/>
  </si>
  <si>
    <r>
      <rPr>
        <sz val="11"/>
        <color theme="1"/>
        <rFont val="ＭＳ Ｐ明朝"/>
        <family val="1"/>
        <charset val="128"/>
      </rPr>
      <t>第</t>
    </r>
    <r>
      <rPr>
        <sz val="11"/>
        <color theme="1"/>
        <rFont val="Times New Roman"/>
        <family val="1"/>
      </rPr>
      <t>1a</t>
    </r>
    <r>
      <rPr>
        <sz val="11"/>
        <color theme="1"/>
        <rFont val="ＭＳ Ｐ明朝"/>
        <family val="1"/>
        <charset val="128"/>
      </rPr>
      <t>相試験において、抗腫瘍応答の単剤活性を示した。
現在、第</t>
    </r>
    <r>
      <rPr>
        <sz val="11"/>
        <color theme="1"/>
        <rFont val="Times New Roman"/>
        <family val="1"/>
      </rPr>
      <t>2</t>
    </r>
    <r>
      <rPr>
        <sz val="11"/>
        <color theme="1"/>
        <rFont val="ＭＳ Ｐ明朝"/>
        <family val="1"/>
        <charset val="128"/>
      </rPr>
      <t>相試験の無作為化試験が実施されている。</t>
    </r>
    <rPh sb="0" eb="1">
      <t>ダイ</t>
    </rPh>
    <rPh sb="3" eb="4">
      <t>ソウ</t>
    </rPh>
    <rPh sb="4" eb="6">
      <t>シケン</t>
    </rPh>
    <rPh sb="11" eb="12">
      <t>コウ</t>
    </rPh>
    <rPh sb="12" eb="14">
      <t>シュヨウ</t>
    </rPh>
    <rPh sb="14" eb="16">
      <t>オウトウ</t>
    </rPh>
    <rPh sb="17" eb="18">
      <t>タン</t>
    </rPh>
    <rPh sb="18" eb="19">
      <t>ザイ</t>
    </rPh>
    <rPh sb="19" eb="21">
      <t>カッセイ</t>
    </rPh>
    <rPh sb="22" eb="23">
      <t>シメ</t>
    </rPh>
    <rPh sb="27" eb="29">
      <t>ゲンザイ</t>
    </rPh>
    <rPh sb="30" eb="31">
      <t>ダイ</t>
    </rPh>
    <rPh sb="32" eb="33">
      <t>ソウ</t>
    </rPh>
    <rPh sb="33" eb="35">
      <t>シケン</t>
    </rPh>
    <rPh sb="36" eb="40">
      <t>ムサクイカ</t>
    </rPh>
    <rPh sb="40" eb="42">
      <t>シケン</t>
    </rPh>
    <rPh sb="43" eb="45">
      <t>ジッシ</t>
    </rPh>
    <phoneticPr fontId="17"/>
  </si>
  <si>
    <r>
      <rPr>
        <sz val="11"/>
        <color theme="1"/>
        <rFont val="ＭＳ Ｐ明朝"/>
        <family val="1"/>
        <charset val="128"/>
      </rPr>
      <t>固形腫瘍を有する成人における、骨折や脊髄圧迫といった合併症を防止するために使用される。</t>
    </r>
    <rPh sb="15" eb="17">
      <t>コッセツ</t>
    </rPh>
    <phoneticPr fontId="17"/>
  </si>
  <si>
    <r>
      <rPr>
        <sz val="11"/>
        <color theme="1"/>
        <rFont val="ＭＳ Ｐ明朝"/>
        <family val="1"/>
        <charset val="128"/>
      </rPr>
      <t>小児の神経芽細胞腫の治療薬である。
悪性黒色腫、神経芽細胞腫、骨肉腫、小細胞肺がんにおいて過剰発現されるガングリオシド</t>
    </r>
    <r>
      <rPr>
        <sz val="11"/>
        <color theme="1"/>
        <rFont val="Times New Roman"/>
        <family val="1"/>
      </rPr>
      <t>GD2</t>
    </r>
    <r>
      <rPr>
        <sz val="11"/>
        <color theme="1"/>
        <rFont val="ＭＳ Ｐ明朝"/>
        <family val="1"/>
        <charset val="128"/>
      </rPr>
      <t>を標的としている。</t>
    </r>
    <rPh sb="0" eb="2">
      <t>ショウニ</t>
    </rPh>
    <phoneticPr fontId="17"/>
  </si>
  <si>
    <r>
      <rPr>
        <sz val="11"/>
        <color theme="1"/>
        <rFont val="ＭＳ Ｐ明朝"/>
        <family val="1"/>
        <charset val="128"/>
      </rPr>
      <t>中等度から重度のアトピー性皮膚炎患者を対象にした第</t>
    </r>
    <r>
      <rPr>
        <sz val="11"/>
        <color theme="1"/>
        <rFont val="Times New Roman"/>
        <family val="1"/>
      </rPr>
      <t>2b</t>
    </r>
    <r>
      <rPr>
        <sz val="11"/>
        <color theme="1"/>
        <rFont val="ＭＳ Ｐ明朝"/>
        <family val="1"/>
        <charset val="128"/>
      </rPr>
      <t>相試験において、二重盲検プラセボ対照試験を行ったところ、いずれの容量においても容量依存的に腫瘍評価項目を改善した。
現在、第</t>
    </r>
    <r>
      <rPr>
        <sz val="11"/>
        <color theme="1"/>
        <rFont val="Times New Roman"/>
        <family val="1"/>
      </rPr>
      <t>3</t>
    </r>
    <r>
      <rPr>
        <sz val="11"/>
        <color theme="1"/>
        <rFont val="ＭＳ Ｐ明朝"/>
        <family val="1"/>
        <charset val="128"/>
      </rPr>
      <t>相試験が実施されている。</t>
    </r>
    <rPh sb="24" eb="25">
      <t>ダイ</t>
    </rPh>
    <rPh sb="27" eb="28">
      <t>ソウ</t>
    </rPh>
    <rPh sb="28" eb="30">
      <t>シケン</t>
    </rPh>
    <rPh sb="35" eb="37">
      <t>ニジュウ</t>
    </rPh>
    <rPh sb="37" eb="38">
      <t>モウ</t>
    </rPh>
    <rPh sb="38" eb="39">
      <t>ケン</t>
    </rPh>
    <rPh sb="43" eb="45">
      <t>タイショウ</t>
    </rPh>
    <rPh sb="45" eb="47">
      <t>シケン</t>
    </rPh>
    <rPh sb="48" eb="49">
      <t>オコナ</t>
    </rPh>
    <rPh sb="59" eb="61">
      <t>ヨウリョウ</t>
    </rPh>
    <rPh sb="66" eb="68">
      <t>ヨウリョウ</t>
    </rPh>
    <rPh sb="68" eb="71">
      <t>イゾンテキ</t>
    </rPh>
    <rPh sb="72" eb="74">
      <t>シュヨウ</t>
    </rPh>
    <rPh sb="74" eb="76">
      <t>ヒョウカ</t>
    </rPh>
    <rPh sb="76" eb="78">
      <t>コウモク</t>
    </rPh>
    <rPh sb="79" eb="81">
      <t>カイゼン</t>
    </rPh>
    <rPh sb="85" eb="87">
      <t>ゲンザイ</t>
    </rPh>
    <rPh sb="88" eb="89">
      <t>ダイ</t>
    </rPh>
    <rPh sb="90" eb="91">
      <t>ソウ</t>
    </rPh>
    <rPh sb="91" eb="93">
      <t>シケン</t>
    </rPh>
    <rPh sb="94" eb="96">
      <t>ジッシ</t>
    </rPh>
    <phoneticPr fontId="17"/>
  </si>
  <si>
    <r>
      <rPr>
        <sz val="11"/>
        <color theme="1"/>
        <rFont val="ＭＳ Ｐ明朝"/>
        <family val="1"/>
        <charset val="128"/>
      </rPr>
      <t>安全性と忍容性の評価を行う第</t>
    </r>
    <r>
      <rPr>
        <sz val="11"/>
        <color theme="1"/>
        <rFont val="Times New Roman"/>
        <family val="1"/>
      </rPr>
      <t>1/2</t>
    </r>
    <r>
      <rPr>
        <sz val="11"/>
        <color theme="1"/>
        <rFont val="ＭＳ Ｐ明朝"/>
        <family val="1"/>
        <charset val="128"/>
      </rPr>
      <t>相試験において、</t>
    </r>
    <r>
      <rPr>
        <sz val="11"/>
        <color theme="1"/>
        <rFont val="Times New Roman"/>
        <family val="1"/>
      </rPr>
      <t>NCSLC</t>
    </r>
    <r>
      <rPr>
        <sz val="11"/>
        <color theme="1"/>
        <rFont val="ＭＳ Ｐ明朝"/>
        <family val="1"/>
        <charset val="128"/>
      </rPr>
      <t>における忍容性プロファイルと抗腫瘍活性を有することが示された。
現在、第</t>
    </r>
    <r>
      <rPr>
        <sz val="11"/>
        <color theme="1"/>
        <rFont val="Times New Roman"/>
        <family val="1"/>
      </rPr>
      <t>3</t>
    </r>
    <r>
      <rPr>
        <sz val="11"/>
        <color theme="1"/>
        <rFont val="ＭＳ Ｐ明朝"/>
        <family val="1"/>
        <charset val="128"/>
      </rPr>
      <t>相試験が実施されている。</t>
    </r>
    <rPh sb="13" eb="14">
      <t>ダイ</t>
    </rPh>
    <rPh sb="17" eb="18">
      <t>ソウ</t>
    </rPh>
    <rPh sb="18" eb="20">
      <t>シケン</t>
    </rPh>
    <rPh sb="34" eb="35">
      <t>ニン</t>
    </rPh>
    <rPh sb="35" eb="36">
      <t>ヨウ</t>
    </rPh>
    <rPh sb="36" eb="37">
      <t>セイ</t>
    </rPh>
    <rPh sb="44" eb="45">
      <t>コウ</t>
    </rPh>
    <rPh sb="45" eb="47">
      <t>シュヨウ</t>
    </rPh>
    <rPh sb="47" eb="49">
      <t>カッセイ</t>
    </rPh>
    <rPh sb="50" eb="51">
      <t>ユウ</t>
    </rPh>
    <rPh sb="56" eb="57">
      <t>シメ</t>
    </rPh>
    <rPh sb="62" eb="64">
      <t>ゲンザイ</t>
    </rPh>
    <rPh sb="65" eb="66">
      <t>ダイ</t>
    </rPh>
    <rPh sb="67" eb="70">
      <t>ソウシケン</t>
    </rPh>
    <rPh sb="71" eb="73">
      <t>ジッシ</t>
    </rPh>
    <phoneticPr fontId="17"/>
  </si>
  <si>
    <r>
      <rPr>
        <sz val="11"/>
        <color theme="1"/>
        <rFont val="ＭＳ Ｐ明朝"/>
        <family val="1"/>
        <charset val="128"/>
      </rPr>
      <t>ステージ</t>
    </r>
    <r>
      <rPr>
        <sz val="11"/>
        <color theme="1"/>
        <rFont val="Times New Roman"/>
        <family val="1"/>
      </rPr>
      <t>II</t>
    </r>
    <r>
      <rPr>
        <sz val="11"/>
        <color theme="1"/>
        <rFont val="ＭＳ Ｐ明朝"/>
        <family val="1"/>
        <charset val="128"/>
      </rPr>
      <t>大腸がん患者を対象とした第</t>
    </r>
    <r>
      <rPr>
        <sz val="11"/>
        <color theme="1"/>
        <rFont val="Times New Roman"/>
        <family val="1"/>
      </rPr>
      <t>3</t>
    </r>
    <r>
      <rPr>
        <sz val="11"/>
        <color theme="1"/>
        <rFont val="ＭＳ Ｐ明朝"/>
        <family val="1"/>
        <charset val="128"/>
      </rPr>
      <t>相試験を実施し、手術との比較を行う。</t>
    </r>
    <rPh sb="13" eb="15">
      <t>タイショウ</t>
    </rPh>
    <rPh sb="18" eb="19">
      <t>ダイ</t>
    </rPh>
    <rPh sb="20" eb="21">
      <t>ソウ</t>
    </rPh>
    <rPh sb="21" eb="23">
      <t>シケン</t>
    </rPh>
    <rPh sb="24" eb="26">
      <t>ジッシ</t>
    </rPh>
    <rPh sb="28" eb="30">
      <t>シュジュツ</t>
    </rPh>
    <rPh sb="32" eb="34">
      <t>ヒカク</t>
    </rPh>
    <rPh sb="35" eb="36">
      <t>オコナ</t>
    </rPh>
    <phoneticPr fontId="17"/>
  </si>
  <si>
    <r>
      <rPr>
        <sz val="11"/>
        <color theme="1"/>
        <rFont val="ＭＳ Ｐ明朝"/>
        <family val="1"/>
        <charset val="128"/>
      </rPr>
      <t>関節リウマチ、膜性腎炎、ループス腎炎、皮膚筋炎、自己免疫性溶血性貧血の治療薬である。
副作用として、頭痛、鼻咽頭炎や背中の痛みが確認されている。</t>
    </r>
    <rPh sb="43" eb="46">
      <t>フクサヨウ</t>
    </rPh>
    <phoneticPr fontId="17"/>
  </si>
  <si>
    <r>
      <rPr>
        <sz val="11"/>
        <color theme="1"/>
        <rFont val="ＭＳ Ｐ明朝"/>
        <family val="1"/>
        <charset val="128"/>
      </rPr>
      <t>ステージ</t>
    </r>
    <r>
      <rPr>
        <sz val="11"/>
        <color theme="1"/>
        <rFont val="Times New Roman"/>
        <family val="1"/>
      </rPr>
      <t>II</t>
    </r>
    <r>
      <rPr>
        <sz val="11"/>
        <color theme="1"/>
        <rFont val="ＭＳ Ｐ明朝"/>
        <family val="1"/>
        <charset val="128"/>
      </rPr>
      <t>の結腸がん患者に対して効果を検証する第</t>
    </r>
    <r>
      <rPr>
        <sz val="11"/>
        <color theme="1"/>
        <rFont val="Times New Roman"/>
        <family val="1"/>
      </rPr>
      <t>3</t>
    </r>
    <r>
      <rPr>
        <sz val="11"/>
        <color theme="1"/>
        <rFont val="ＭＳ Ｐ明朝"/>
        <family val="1"/>
        <charset val="128"/>
      </rPr>
      <t>相試験において、</t>
    </r>
    <r>
      <rPr>
        <sz val="11"/>
        <color theme="1"/>
        <rFont val="Times New Roman"/>
        <family val="1"/>
      </rPr>
      <t>OS</t>
    </r>
    <r>
      <rPr>
        <sz val="11"/>
        <color theme="1"/>
        <rFont val="ＭＳ Ｐ明朝"/>
        <family val="1"/>
        <charset val="128"/>
      </rPr>
      <t>を延長しないという否定的結果が得られた。
同時に、分子マーカーと他の予後因子を統合する事で、症状のリスク予測を改善できる可能性が示唆された。</t>
    </r>
    <rPh sb="24" eb="25">
      <t>ダイ</t>
    </rPh>
    <rPh sb="26" eb="27">
      <t>ソウ</t>
    </rPh>
    <rPh sb="27" eb="29">
      <t>シケン</t>
    </rPh>
    <phoneticPr fontId="17"/>
  </si>
  <si>
    <r>
      <t>CD11</t>
    </r>
    <r>
      <rPr>
        <sz val="11"/>
        <color theme="1"/>
        <rFont val="ＭＳ Ｐ明朝"/>
        <family val="1"/>
        <charset val="128"/>
      </rPr>
      <t>を標的とした、移植拒絶反応、及び皮膚掻痒症の治療薬である。</t>
    </r>
    <rPh sb="5" eb="7">
      <t>ヒョウテキ</t>
    </rPh>
    <rPh sb="18" eb="19">
      <t>オヨ</t>
    </rPh>
    <phoneticPr fontId="17"/>
  </si>
  <si>
    <r>
      <rPr>
        <sz val="11"/>
        <color theme="1"/>
        <rFont val="ＭＳ Ｐ明朝"/>
        <family val="1"/>
        <charset val="128"/>
      </rPr>
      <t>かつて、カンジダ・アルビカンス感染症の治療薬として開発が進められていた。</t>
    </r>
    <rPh sb="17" eb="18">
      <t>ショウ</t>
    </rPh>
    <rPh sb="19" eb="22">
      <t>チリョウヤク</t>
    </rPh>
    <phoneticPr fontId="17"/>
  </si>
  <si>
    <r>
      <rPr>
        <sz val="11"/>
        <color theme="1"/>
        <rFont val="ＭＳ Ｐ明朝"/>
        <family val="1"/>
        <charset val="128"/>
      </rPr>
      <t xml:space="preserve">多発性骨髄腫治療薬である。
</t>
    </r>
    <r>
      <rPr>
        <sz val="11"/>
        <color theme="1"/>
        <rFont val="Times New Roman"/>
        <family val="1"/>
      </rPr>
      <t>lenalidomide</t>
    </r>
    <r>
      <rPr>
        <sz val="11"/>
        <color theme="1"/>
        <rFont val="ＭＳ Ｐ明朝"/>
        <family val="1"/>
        <charset val="128"/>
      </rPr>
      <t>と</t>
    </r>
    <r>
      <rPr>
        <sz val="11"/>
        <color theme="1"/>
        <rFont val="Times New Roman"/>
        <family val="1"/>
      </rPr>
      <t>dexamethasone</t>
    </r>
    <r>
      <rPr>
        <sz val="11"/>
        <color theme="1"/>
        <rFont val="ＭＳ Ｐ明朝"/>
        <family val="1"/>
        <charset val="128"/>
      </rPr>
      <t>と組み合わせて用いられる。</t>
    </r>
    <rPh sb="41" eb="42">
      <t>ク</t>
    </rPh>
    <rPh sb="43" eb="44">
      <t>ア</t>
    </rPh>
    <rPh sb="47" eb="48">
      <t>モチ</t>
    </rPh>
    <phoneticPr fontId="17"/>
  </si>
  <si>
    <r>
      <rPr>
        <sz val="11"/>
        <color theme="1"/>
        <rFont val="ＭＳ Ｐ明朝"/>
        <family val="1"/>
        <charset val="128"/>
      </rPr>
      <t>無作為化、二重盲検、プラセボ対照試験を行う第</t>
    </r>
    <r>
      <rPr>
        <sz val="11"/>
        <color theme="1"/>
        <rFont val="Times New Roman"/>
        <family val="1"/>
      </rPr>
      <t>3</t>
    </r>
    <r>
      <rPr>
        <sz val="11"/>
        <color theme="1"/>
        <rFont val="ＭＳ Ｐ明朝"/>
        <family val="1"/>
        <charset val="128"/>
      </rPr>
      <t>相試験において、統計的にプラセボに対する優位性が見られなかった。
全身性エリテマトーデスの試験を引き続き実施している。</t>
    </r>
    <rPh sb="21" eb="22">
      <t>ダイ</t>
    </rPh>
    <rPh sb="23" eb="24">
      <t>ソウ</t>
    </rPh>
    <rPh sb="24" eb="26">
      <t>シケン</t>
    </rPh>
    <rPh sb="31" eb="34">
      <t>トウケイテキ</t>
    </rPh>
    <rPh sb="40" eb="41">
      <t>タイ</t>
    </rPh>
    <rPh sb="43" eb="46">
      <t>ユウイセイ</t>
    </rPh>
    <rPh sb="47" eb="48">
      <t>ミ</t>
    </rPh>
    <rPh sb="56" eb="59">
      <t>ゼンシンセイ</t>
    </rPh>
    <rPh sb="68" eb="70">
      <t>シケン</t>
    </rPh>
    <rPh sb="71" eb="72">
      <t>ヒ</t>
    </rPh>
    <rPh sb="73" eb="74">
      <t>ツヅ</t>
    </rPh>
    <rPh sb="75" eb="77">
      <t>ジッシ</t>
    </rPh>
    <phoneticPr fontId="17"/>
  </si>
  <si>
    <t>BENEPALI</t>
  </si>
  <si>
    <r>
      <rPr>
        <sz val="11"/>
        <color theme="1"/>
        <rFont val="ＭＳ Ｐ明朝"/>
        <family val="1"/>
        <charset val="128"/>
      </rPr>
      <t>転移性黒色腫患者に対する無作為化、非盲検試験と既存薬</t>
    </r>
    <r>
      <rPr>
        <sz val="11"/>
        <color theme="1"/>
        <rFont val="Times New Roman"/>
        <family val="1"/>
      </rPr>
      <t>dacarbazine</t>
    </r>
    <r>
      <rPr>
        <sz val="11"/>
        <color theme="1"/>
        <rFont val="ＭＳ Ｐ明朝"/>
        <family val="1"/>
        <charset val="128"/>
      </rPr>
      <t>との</t>
    </r>
    <r>
      <rPr>
        <sz val="11"/>
        <color theme="1"/>
        <rFont val="Times New Roman"/>
        <family val="1"/>
      </rPr>
      <t>2</t>
    </r>
    <r>
      <rPr>
        <sz val="11"/>
        <color theme="1"/>
        <rFont val="ＭＳ Ｐ明朝"/>
        <family val="1"/>
        <charset val="128"/>
      </rPr>
      <t>群試験を行う第</t>
    </r>
    <r>
      <rPr>
        <sz val="11"/>
        <color theme="1"/>
        <rFont val="Times New Roman"/>
        <family val="1"/>
      </rPr>
      <t>2</t>
    </r>
    <r>
      <rPr>
        <sz val="11"/>
        <color theme="1"/>
        <rFont val="ＭＳ Ｐ明朝"/>
        <family val="1"/>
        <charset val="128"/>
      </rPr>
      <t>相試験において、安全性及び抗腫瘍効果を検証した。
結果、</t>
    </r>
    <r>
      <rPr>
        <sz val="11"/>
        <color theme="1"/>
        <rFont val="Times New Roman"/>
        <family val="1"/>
      </rPr>
      <t>dacarbazine + etaracizumab</t>
    </r>
    <r>
      <rPr>
        <sz val="11"/>
        <color theme="1"/>
        <rFont val="ＭＳ Ｐ明朝"/>
        <family val="1"/>
        <charset val="128"/>
      </rPr>
      <t>群と</t>
    </r>
    <r>
      <rPr>
        <sz val="11"/>
        <color theme="1"/>
        <rFont val="Times New Roman"/>
        <family val="1"/>
      </rPr>
      <t>etaracizumab</t>
    </r>
    <r>
      <rPr>
        <sz val="11"/>
        <color theme="1"/>
        <rFont val="ＭＳ Ｐ明朝"/>
        <family val="1"/>
        <charset val="128"/>
      </rPr>
      <t>群で症状改善に大きな差が現れなかった。</t>
    </r>
    <rPh sb="46" eb="47">
      <t>ダイ</t>
    </rPh>
    <rPh sb="48" eb="49">
      <t>ソウ</t>
    </rPh>
    <rPh sb="49" eb="51">
      <t>シケン</t>
    </rPh>
    <rPh sb="56" eb="59">
      <t>アンゼンセイ</t>
    </rPh>
    <rPh sb="59" eb="60">
      <t>オヨ</t>
    </rPh>
    <rPh sb="61" eb="66">
      <t>コウシュヨウコウカ</t>
    </rPh>
    <rPh sb="67" eb="69">
      <t>ケンショウ</t>
    </rPh>
    <rPh sb="102" eb="103">
      <t>グン</t>
    </rPh>
    <rPh sb="116" eb="117">
      <t>グン</t>
    </rPh>
    <rPh sb="118" eb="120">
      <t>ショウジョウ</t>
    </rPh>
    <rPh sb="120" eb="122">
      <t>カイゼン</t>
    </rPh>
    <rPh sb="123" eb="124">
      <t>オオ</t>
    </rPh>
    <rPh sb="126" eb="127">
      <t>サ</t>
    </rPh>
    <rPh sb="128" eb="129">
      <t>アラワ</t>
    </rPh>
    <phoneticPr fontId="17"/>
  </si>
  <si>
    <r>
      <rPr>
        <sz val="11"/>
        <color theme="1"/>
        <rFont val="ＭＳ Ｐ明朝"/>
        <family val="1"/>
        <charset val="128"/>
      </rPr>
      <t>潰瘍性大腸炎患者に対する二重盲検、プラセボ対照、無作為化試験を行う第</t>
    </r>
    <r>
      <rPr>
        <sz val="11"/>
        <color theme="1"/>
        <rFont val="Times New Roman"/>
        <family val="1"/>
      </rPr>
      <t>2</t>
    </r>
    <r>
      <rPr>
        <sz val="11"/>
        <color theme="1"/>
        <rFont val="ＭＳ Ｐ明朝"/>
        <family val="1"/>
        <charset val="128"/>
      </rPr>
      <t>相試験において、プラセボよりも</t>
    </r>
    <r>
      <rPr>
        <sz val="11"/>
        <color theme="1"/>
        <rFont val="Times New Roman"/>
        <family val="1"/>
      </rPr>
      <t>10</t>
    </r>
    <r>
      <rPr>
        <sz val="11"/>
        <color theme="1"/>
        <rFont val="ＭＳ Ｐ明朝"/>
        <family val="1"/>
        <charset val="128"/>
      </rPr>
      <t>週間早く症状の改善が示された。
現在、第</t>
    </r>
    <r>
      <rPr>
        <sz val="11"/>
        <color theme="1"/>
        <rFont val="Times New Roman"/>
        <family val="1"/>
      </rPr>
      <t>3</t>
    </r>
    <r>
      <rPr>
        <sz val="11"/>
        <color theme="1"/>
        <rFont val="ＭＳ Ｐ明朝"/>
        <family val="1"/>
        <charset val="128"/>
      </rPr>
      <t>相試験が実施されている。</t>
    </r>
    <rPh sb="33" eb="34">
      <t>ダイ</t>
    </rPh>
    <rPh sb="35" eb="36">
      <t>ソウ</t>
    </rPh>
    <rPh sb="36" eb="38">
      <t>シケン</t>
    </rPh>
    <rPh sb="52" eb="54">
      <t>シュウカン</t>
    </rPh>
    <rPh sb="54" eb="55">
      <t>ハヤ</t>
    </rPh>
    <rPh sb="56" eb="58">
      <t>ショウジョウ</t>
    </rPh>
    <rPh sb="59" eb="61">
      <t>カイゼン</t>
    </rPh>
    <rPh sb="62" eb="63">
      <t>シメ</t>
    </rPh>
    <rPh sb="68" eb="70">
      <t>ゲンザイ</t>
    </rPh>
    <rPh sb="71" eb="72">
      <t>ダイ</t>
    </rPh>
    <rPh sb="73" eb="74">
      <t>ソウ</t>
    </rPh>
    <rPh sb="74" eb="76">
      <t>シケン</t>
    </rPh>
    <rPh sb="77" eb="79">
      <t>ジッシ</t>
    </rPh>
    <phoneticPr fontId="17"/>
  </si>
  <si>
    <r>
      <t>PCSK9</t>
    </r>
    <r>
      <rPr>
        <sz val="11"/>
        <color theme="1"/>
        <rFont val="ＭＳ Ｐ明朝"/>
        <family val="1"/>
        <charset val="128"/>
      </rPr>
      <t>を標的とした、家族性高コレステロール血症治療薬である。</t>
    </r>
    <rPh sb="6" eb="8">
      <t>ヒョウテキ</t>
    </rPh>
    <phoneticPr fontId="17"/>
  </si>
  <si>
    <r>
      <rPr>
        <sz val="11"/>
        <color theme="1"/>
        <rFont val="ＭＳ Ｐ明朝"/>
        <family val="1"/>
        <charset val="128"/>
      </rPr>
      <t>プライマリ耐性</t>
    </r>
    <r>
      <rPr>
        <sz val="11"/>
        <color theme="1"/>
        <rFont val="Times New Roman"/>
        <family val="1"/>
      </rPr>
      <t>FSGS</t>
    </r>
    <r>
      <rPr>
        <sz val="11"/>
        <color theme="1"/>
        <rFont val="ＭＳ Ｐ明朝"/>
        <family val="1"/>
        <charset val="128"/>
      </rPr>
      <t>患者に対して非盲検、用量決定試験を行い、単回投与注入の薬物動態を評価する第</t>
    </r>
    <r>
      <rPr>
        <sz val="11"/>
        <color theme="1"/>
        <rFont val="Times New Roman"/>
        <family val="1"/>
      </rPr>
      <t>1</t>
    </r>
    <r>
      <rPr>
        <sz val="11"/>
        <color theme="1"/>
        <rFont val="ＭＳ Ｐ明朝"/>
        <family val="1"/>
        <charset val="128"/>
      </rPr>
      <t>相試験において、良好な結果が得られた。
現在、第</t>
    </r>
    <r>
      <rPr>
        <sz val="11"/>
        <color theme="1"/>
        <rFont val="Times New Roman"/>
        <family val="1"/>
      </rPr>
      <t>2</t>
    </r>
    <r>
      <rPr>
        <sz val="11"/>
        <color theme="1"/>
        <rFont val="ＭＳ Ｐ明朝"/>
        <family val="1"/>
        <charset val="128"/>
      </rPr>
      <t>相試験が実施されている。</t>
    </r>
    <rPh sb="14" eb="15">
      <t>タイ</t>
    </rPh>
    <rPh sb="47" eb="48">
      <t>ダイ</t>
    </rPh>
    <rPh sb="49" eb="50">
      <t>ソウ</t>
    </rPh>
    <rPh sb="50" eb="52">
      <t>シケン</t>
    </rPh>
    <rPh sb="57" eb="59">
      <t>リョウコウ</t>
    </rPh>
    <rPh sb="60" eb="62">
      <t>ケッカ</t>
    </rPh>
    <rPh sb="63" eb="64">
      <t>エ</t>
    </rPh>
    <rPh sb="69" eb="71">
      <t>ゲンザイ</t>
    </rPh>
    <rPh sb="72" eb="73">
      <t>ダイ</t>
    </rPh>
    <rPh sb="74" eb="75">
      <t>ソウ</t>
    </rPh>
    <rPh sb="75" eb="77">
      <t>シケン</t>
    </rPh>
    <rPh sb="78" eb="80">
      <t>ジッシ</t>
    </rPh>
    <phoneticPr fontId="17"/>
  </si>
  <si>
    <r>
      <rPr>
        <sz val="11"/>
        <color theme="1"/>
        <rFont val="ＭＳ Ｐ明朝"/>
        <family val="1"/>
        <charset val="128"/>
      </rPr>
      <t>アルツハイマー病の初期症状がある患者に対し、</t>
    </r>
    <r>
      <rPr>
        <sz val="11"/>
        <color theme="1"/>
        <rFont val="Times New Roman"/>
        <family val="1"/>
      </rPr>
      <t>CDR-SOB</t>
    </r>
    <r>
      <rPr>
        <sz val="11"/>
        <color theme="1"/>
        <rFont val="ＭＳ Ｐ明朝"/>
        <family val="1"/>
        <charset val="128"/>
      </rPr>
      <t>及び脳アミロイドレベル変化を検証する第</t>
    </r>
    <r>
      <rPr>
        <sz val="11"/>
        <color theme="1"/>
        <rFont val="Times New Roman"/>
        <family val="1"/>
      </rPr>
      <t>2/3</t>
    </r>
    <r>
      <rPr>
        <sz val="11"/>
        <color theme="1"/>
        <rFont val="ＭＳ Ｐ明朝"/>
        <family val="1"/>
        <charset val="128"/>
      </rPr>
      <t xml:space="preserve">相試験において、良好な結果が得られた。
</t>
    </r>
    <r>
      <rPr>
        <sz val="11"/>
        <color theme="1"/>
        <rFont val="Times New Roman"/>
        <family val="1"/>
      </rPr>
      <t>2014</t>
    </r>
    <r>
      <rPr>
        <sz val="11"/>
        <color theme="1"/>
        <rFont val="ＭＳ Ｐ明朝"/>
        <family val="1"/>
        <charset val="128"/>
      </rPr>
      <t>年</t>
    </r>
    <r>
      <rPr>
        <sz val="11"/>
        <color theme="1"/>
        <rFont val="Times New Roman"/>
        <family val="1"/>
      </rPr>
      <t>3</t>
    </r>
    <r>
      <rPr>
        <sz val="11"/>
        <color theme="1"/>
        <rFont val="ＭＳ Ｐ明朝"/>
        <family val="1"/>
        <charset val="128"/>
      </rPr>
      <t>月から、第</t>
    </r>
    <r>
      <rPr>
        <sz val="11"/>
        <color theme="1"/>
        <rFont val="Times New Roman"/>
        <family val="1"/>
      </rPr>
      <t>3</t>
    </r>
    <r>
      <rPr>
        <sz val="11"/>
        <color theme="1"/>
        <rFont val="ＭＳ Ｐ明朝"/>
        <family val="1"/>
        <charset val="128"/>
      </rPr>
      <t>相試験が実施されていたが、新たな安全性シグナルが認められず、試験全体における安全プロファイルは第</t>
    </r>
    <r>
      <rPr>
        <sz val="11"/>
        <color theme="1"/>
        <rFont val="Times New Roman"/>
        <family val="1"/>
      </rPr>
      <t>1</t>
    </r>
    <r>
      <rPr>
        <sz val="11"/>
        <color theme="1"/>
        <rFont val="ＭＳ Ｐ明朝"/>
        <family val="1"/>
        <charset val="128"/>
      </rPr>
      <t>相試験で確認したものと同様であったため、同年</t>
    </r>
    <r>
      <rPr>
        <sz val="11"/>
        <color theme="1"/>
        <rFont val="Times New Roman"/>
        <family val="1"/>
      </rPr>
      <t>12</t>
    </r>
    <r>
      <rPr>
        <sz val="11"/>
        <color theme="1"/>
        <rFont val="ＭＳ Ｐ明朝"/>
        <family val="1"/>
        <charset val="128"/>
      </rPr>
      <t>月に試験を中断した。</t>
    </r>
    <rPh sb="7" eb="8">
      <t>ビョウ</t>
    </rPh>
    <rPh sb="9" eb="11">
      <t>ショキ</t>
    </rPh>
    <rPh sb="11" eb="13">
      <t>ショウジョウ</t>
    </rPh>
    <rPh sb="16" eb="18">
      <t>カンジャ</t>
    </rPh>
    <rPh sb="19" eb="20">
      <t>タイ</t>
    </rPh>
    <rPh sb="29" eb="30">
      <t>オヨ</t>
    </rPh>
    <rPh sb="31" eb="32">
      <t>ノウ</t>
    </rPh>
    <rPh sb="40" eb="42">
      <t>ヘンカ</t>
    </rPh>
    <rPh sb="43" eb="45">
      <t>ケンショウ</t>
    </rPh>
    <rPh sb="59" eb="61">
      <t>リョウコウ</t>
    </rPh>
    <rPh sb="62" eb="64">
      <t>ケッカ</t>
    </rPh>
    <rPh sb="65" eb="66">
      <t>エ</t>
    </rPh>
    <rPh sb="75" eb="76">
      <t>ネン</t>
    </rPh>
    <rPh sb="77" eb="78">
      <t>ガツ</t>
    </rPh>
    <rPh sb="81" eb="82">
      <t>ダイ</t>
    </rPh>
    <rPh sb="83" eb="84">
      <t>ソウ</t>
    </rPh>
    <rPh sb="84" eb="86">
      <t>シケン</t>
    </rPh>
    <rPh sb="87" eb="89">
      <t>ジッシ</t>
    </rPh>
    <rPh sb="96" eb="97">
      <t>アラ</t>
    </rPh>
    <rPh sb="99" eb="102">
      <t>アンゼンセイ</t>
    </rPh>
    <rPh sb="107" eb="108">
      <t>ミト</t>
    </rPh>
    <rPh sb="113" eb="115">
      <t>シケン</t>
    </rPh>
    <rPh sb="115" eb="117">
      <t>ゼンタイ</t>
    </rPh>
    <rPh sb="121" eb="123">
      <t>アンゼン</t>
    </rPh>
    <rPh sb="130" eb="131">
      <t>ダイ</t>
    </rPh>
    <rPh sb="132" eb="133">
      <t>ソウ</t>
    </rPh>
    <rPh sb="133" eb="135">
      <t>シケン</t>
    </rPh>
    <rPh sb="136" eb="138">
      <t>カクニン</t>
    </rPh>
    <rPh sb="143" eb="145">
      <t>ドウヨウ</t>
    </rPh>
    <rPh sb="152" eb="154">
      <t>ドウネン</t>
    </rPh>
    <rPh sb="156" eb="157">
      <t>ガツ</t>
    </rPh>
    <rPh sb="158" eb="160">
      <t>シケン</t>
    </rPh>
    <rPh sb="161" eb="163">
      <t>チュウダン</t>
    </rPh>
    <phoneticPr fontId="17"/>
  </si>
  <si>
    <r>
      <t>2004</t>
    </r>
    <r>
      <rPr>
        <sz val="11"/>
        <color theme="1"/>
        <rFont val="ＭＳ Ｐ明朝"/>
        <family val="1"/>
        <charset val="128"/>
      </rPr>
      <t>年に開始されたアメリカでの市販後試験において、無作為化第</t>
    </r>
    <r>
      <rPr>
        <sz val="11"/>
        <color theme="1"/>
        <rFont val="Times New Roman"/>
        <family val="1"/>
      </rPr>
      <t>3</t>
    </r>
    <r>
      <rPr>
        <sz val="11"/>
        <color theme="1"/>
        <rFont val="ＭＳ Ｐ明朝"/>
        <family val="1"/>
        <charset val="128"/>
      </rPr>
      <t>相試験の中間解析で</t>
    </r>
    <r>
      <rPr>
        <sz val="11"/>
        <color theme="1"/>
        <rFont val="Times New Roman"/>
        <family val="1"/>
      </rPr>
      <t>gemtuzumab</t>
    </r>
    <r>
      <rPr>
        <sz val="11"/>
        <color theme="1"/>
        <rFont val="ＭＳ Ｐ明朝"/>
        <family val="1"/>
        <charset val="128"/>
      </rPr>
      <t>併用群で死亡が多かった他、肝静脈閉塞性疾患の発生率が承認時に報告されていた値よりも高かった。
アメリカでは</t>
    </r>
    <r>
      <rPr>
        <sz val="11"/>
        <color theme="1"/>
        <rFont val="Times New Roman"/>
        <family val="1"/>
      </rPr>
      <t>2009</t>
    </r>
    <r>
      <rPr>
        <sz val="11"/>
        <color theme="1"/>
        <rFont val="ＭＳ Ｐ明朝"/>
        <family val="1"/>
        <charset val="128"/>
      </rPr>
      <t>年に試験が中止され、</t>
    </r>
    <r>
      <rPr>
        <sz val="11"/>
        <color theme="1"/>
        <rFont val="Times New Roman"/>
        <family val="1"/>
      </rPr>
      <t>2010</t>
    </r>
    <r>
      <rPr>
        <sz val="11"/>
        <color theme="1"/>
        <rFont val="ＭＳ Ｐ明朝"/>
        <family val="1"/>
        <charset val="128"/>
      </rPr>
      <t>年に販売が中止された。
他の抗悪性腫瘍剤との併用は十分に検証されていない。</t>
    </r>
    <rPh sb="148" eb="150">
      <t>ジュウブン</t>
    </rPh>
    <rPh sb="151" eb="153">
      <t>ケンショウ</t>
    </rPh>
    <phoneticPr fontId="17"/>
  </si>
  <si>
    <r>
      <rPr>
        <sz val="11"/>
        <color theme="1"/>
        <rFont val="ＭＳ Ｐ明朝"/>
        <family val="1"/>
        <charset val="128"/>
      </rPr>
      <t>現在、壊疽性膿皮症患者に対して二重盲検、プラセボ対照の第</t>
    </r>
    <r>
      <rPr>
        <sz val="11"/>
        <color theme="1"/>
        <rFont val="Times New Roman"/>
        <family val="1"/>
      </rPr>
      <t>3</t>
    </r>
    <r>
      <rPr>
        <sz val="11"/>
        <color theme="1"/>
        <rFont val="ＭＳ Ｐ明朝"/>
        <family val="1"/>
        <charset val="128"/>
      </rPr>
      <t>相試験が実施されている。</t>
    </r>
    <rPh sb="0" eb="2">
      <t>ゲンザイ</t>
    </rPh>
    <rPh sb="9" eb="11">
      <t>カンジャ</t>
    </rPh>
    <rPh sb="12" eb="13">
      <t>タイ</t>
    </rPh>
    <rPh sb="27" eb="28">
      <t>ダイ</t>
    </rPh>
    <rPh sb="29" eb="32">
      <t>ソウシケン</t>
    </rPh>
    <rPh sb="33" eb="35">
      <t>ジッシ</t>
    </rPh>
    <phoneticPr fontId="17"/>
  </si>
  <si>
    <r>
      <t>B</t>
    </r>
    <r>
      <rPr>
        <sz val="11"/>
        <color theme="1"/>
        <rFont val="ＭＳ Ｐ明朝"/>
        <family val="1"/>
        <charset val="128"/>
      </rPr>
      <t>細胞の</t>
    </r>
    <r>
      <rPr>
        <sz val="11"/>
        <color theme="1"/>
        <rFont val="Times New Roman"/>
        <family val="1"/>
      </rPr>
      <t>CD20</t>
    </r>
    <r>
      <rPr>
        <sz val="11"/>
        <color theme="1"/>
        <rFont val="ＭＳ Ｐ明朝"/>
        <family val="1"/>
        <charset val="128"/>
      </rPr>
      <t>を標的とした、転移性黒色腫治療薬である。
吐き気、嘔吐、下痢、食欲不振等の副作用を伴う。</t>
    </r>
    <rPh sb="1" eb="3">
      <t>サイボウ</t>
    </rPh>
    <rPh sb="9" eb="11">
      <t>ヒョウテキ</t>
    </rPh>
    <rPh sb="29" eb="30">
      <t>ハ</t>
    </rPh>
    <rPh sb="31" eb="32">
      <t>ケ</t>
    </rPh>
    <rPh sb="33" eb="35">
      <t>オウト</t>
    </rPh>
    <rPh sb="36" eb="38">
      <t>ゲリ</t>
    </rPh>
    <rPh sb="39" eb="41">
      <t>ショクヨク</t>
    </rPh>
    <rPh sb="41" eb="43">
      <t>フシン</t>
    </rPh>
    <rPh sb="43" eb="44">
      <t>トウ</t>
    </rPh>
    <rPh sb="45" eb="48">
      <t>フクサヨウ</t>
    </rPh>
    <rPh sb="49" eb="50">
      <t>トモナ</t>
    </rPh>
    <phoneticPr fontId="17"/>
  </si>
  <si>
    <r>
      <rPr>
        <sz val="11"/>
        <color theme="1"/>
        <rFont val="ＭＳ Ｐ明朝"/>
        <family val="1"/>
        <charset val="128"/>
      </rPr>
      <t>かつて卵巣がんの治療薬として用いられていた。</t>
    </r>
    <rPh sb="8" eb="11">
      <t>チリョウヤク</t>
    </rPh>
    <rPh sb="14" eb="15">
      <t>モチ</t>
    </rPh>
    <phoneticPr fontId="17"/>
  </si>
  <si>
    <r>
      <rPr>
        <sz val="11"/>
        <color theme="1"/>
        <rFont val="ＭＳ Ｐ明朝"/>
        <family val="1"/>
        <charset val="128"/>
      </rPr>
      <t>難治性の転移性皮膚黒色腫患者を対象に、</t>
    </r>
    <r>
      <rPr>
        <sz val="11"/>
        <color theme="1"/>
        <rFont val="Times New Roman"/>
        <family val="1"/>
      </rPr>
      <t>durvalumab</t>
    </r>
    <r>
      <rPr>
        <sz val="11"/>
        <color theme="1"/>
        <rFont val="ＭＳ Ｐ明朝"/>
        <family val="1"/>
        <charset val="128"/>
      </rPr>
      <t>及び</t>
    </r>
    <r>
      <rPr>
        <sz val="11"/>
        <color theme="1"/>
        <rFont val="Times New Roman"/>
        <family val="1"/>
      </rPr>
      <t>tremelimumab</t>
    </r>
    <r>
      <rPr>
        <sz val="11"/>
        <color theme="1"/>
        <rFont val="ＭＳ Ｐ明朝"/>
        <family val="1"/>
        <charset val="128"/>
      </rPr>
      <t>との併用第</t>
    </r>
    <r>
      <rPr>
        <sz val="11"/>
        <color theme="1"/>
        <rFont val="Times New Roman"/>
        <family val="1"/>
      </rPr>
      <t>1/2b</t>
    </r>
    <r>
      <rPr>
        <sz val="11"/>
        <color theme="1"/>
        <rFont val="ＭＳ Ｐ明朝"/>
        <family val="1"/>
        <charset val="128"/>
      </rPr>
      <t>相試験が実施されている。</t>
    </r>
    <rPh sb="0" eb="1">
      <t>ナン</t>
    </rPh>
    <rPh sb="1" eb="2">
      <t>チ</t>
    </rPh>
    <rPh sb="2" eb="3">
      <t>セイ</t>
    </rPh>
    <rPh sb="12" eb="14">
      <t>カンジャ</t>
    </rPh>
    <rPh sb="15" eb="17">
      <t>タイショウ</t>
    </rPh>
    <rPh sb="29" eb="30">
      <t>オヨ</t>
    </rPh>
    <rPh sb="45" eb="47">
      <t>ヘイヨウ</t>
    </rPh>
    <rPh sb="47" eb="48">
      <t>ダイ</t>
    </rPh>
    <rPh sb="52" eb="53">
      <t>ソウ</t>
    </rPh>
    <rPh sb="53" eb="55">
      <t>シケン</t>
    </rPh>
    <rPh sb="56" eb="58">
      <t>ジッシ</t>
    </rPh>
    <phoneticPr fontId="17"/>
  </si>
  <si>
    <r>
      <rPr>
        <sz val="11"/>
        <color theme="1"/>
        <rFont val="ＭＳ Ｐ明朝"/>
        <family val="1"/>
        <charset val="128"/>
      </rPr>
      <t xml:space="preserve">腫瘍疾患、悪性黒色腫治療薬である。
</t>
    </r>
    <r>
      <rPr>
        <sz val="11"/>
        <color theme="1"/>
        <rFont val="Times New Roman"/>
        <family val="1"/>
      </rPr>
      <t>HIV</t>
    </r>
    <r>
      <rPr>
        <sz val="11"/>
        <color theme="1"/>
        <rFont val="ＭＳ Ｐ明朝"/>
        <family val="1"/>
        <charset val="128"/>
      </rPr>
      <t xml:space="preserve">感染者の治療にも用いられる。
</t>
    </r>
    <r>
      <rPr>
        <sz val="11"/>
        <color theme="1"/>
        <rFont val="Times New Roman"/>
        <family val="1"/>
      </rPr>
      <t>bevacizumab</t>
    </r>
    <r>
      <rPr>
        <sz val="11"/>
        <color theme="1"/>
        <rFont val="ＭＳ Ｐ明朝"/>
        <family val="1"/>
        <charset val="128"/>
      </rPr>
      <t>もしくは</t>
    </r>
    <r>
      <rPr>
        <sz val="11"/>
        <color theme="1"/>
        <rFont val="Times New Roman"/>
        <family val="1"/>
      </rPr>
      <t>vemurafenib</t>
    </r>
    <r>
      <rPr>
        <sz val="11"/>
        <color theme="1"/>
        <rFont val="ＭＳ Ｐ明朝"/>
        <family val="1"/>
        <charset val="128"/>
      </rPr>
      <t>と併用される。</t>
    </r>
    <rPh sb="23" eb="24">
      <t>シャ</t>
    </rPh>
    <rPh sb="25" eb="27">
      <t>チリョウ</t>
    </rPh>
    <rPh sb="29" eb="30">
      <t>モチ</t>
    </rPh>
    <rPh sb="63" eb="65">
      <t>ヘイヨウ</t>
    </rPh>
    <phoneticPr fontId="17"/>
  </si>
  <si>
    <r>
      <rPr>
        <sz val="11"/>
        <color theme="1"/>
        <rFont val="ＭＳ Ｐ明朝"/>
        <family val="1"/>
        <charset val="128"/>
      </rPr>
      <t>肝転移（</t>
    </r>
    <r>
      <rPr>
        <sz val="11"/>
        <color theme="1"/>
        <rFont val="Times New Roman"/>
        <family val="1"/>
      </rPr>
      <t>LM</t>
    </r>
    <r>
      <rPr>
        <sz val="11"/>
        <color theme="1"/>
        <rFont val="ＭＳ Ｐ明朝"/>
        <family val="1"/>
        <charset val="128"/>
      </rPr>
      <t>）のサルベージ切除後の放射免疫療法を検討する第</t>
    </r>
    <r>
      <rPr>
        <sz val="11"/>
        <color theme="1"/>
        <rFont val="Times New Roman"/>
        <family val="1"/>
      </rPr>
      <t>2</t>
    </r>
    <r>
      <rPr>
        <sz val="11"/>
        <color theme="1"/>
        <rFont val="ＭＳ Ｐ明朝"/>
        <family val="1"/>
        <charset val="128"/>
      </rPr>
      <t>相試験を実施したところ、症状の改善が見られた。
今後、無作為化試験などの更なる評価を行う予定である。</t>
    </r>
    <rPh sb="24" eb="26">
      <t>ケントウ</t>
    </rPh>
    <rPh sb="28" eb="29">
      <t>ダイ</t>
    </rPh>
    <rPh sb="30" eb="33">
      <t>ソウシケン</t>
    </rPh>
    <rPh sb="34" eb="36">
      <t>ジッシ</t>
    </rPh>
    <rPh sb="42" eb="44">
      <t>ショウジョウ</t>
    </rPh>
    <rPh sb="45" eb="47">
      <t>カイゼン</t>
    </rPh>
    <rPh sb="48" eb="49">
      <t>ミ</t>
    </rPh>
    <rPh sb="54" eb="56">
      <t>コンゴ</t>
    </rPh>
    <rPh sb="66" eb="67">
      <t>サラ</t>
    </rPh>
    <rPh sb="69" eb="71">
      <t>ヒョウカ</t>
    </rPh>
    <rPh sb="72" eb="73">
      <t>オコナ</t>
    </rPh>
    <rPh sb="74" eb="76">
      <t>ヨテイ</t>
    </rPh>
    <phoneticPr fontId="17"/>
  </si>
  <si>
    <r>
      <rPr>
        <sz val="11"/>
        <color theme="1"/>
        <rFont val="ＭＳ Ｐ明朝"/>
        <family val="1"/>
        <charset val="128"/>
      </rPr>
      <t>非小細胞肺がんおよび卵巣がん患者を対象とした第</t>
    </r>
    <r>
      <rPr>
        <sz val="11"/>
        <color theme="1"/>
        <rFont val="Times New Roman"/>
        <family val="1"/>
      </rPr>
      <t>1</t>
    </r>
    <r>
      <rPr>
        <sz val="11"/>
        <color theme="1"/>
        <rFont val="ＭＳ Ｐ明朝"/>
        <family val="1"/>
        <charset val="128"/>
      </rPr>
      <t>相試験の結果を受け、プラチナ耐性卵巣がん患者を対象とした第</t>
    </r>
    <r>
      <rPr>
        <sz val="11"/>
        <color theme="1"/>
        <rFont val="Times New Roman"/>
        <family val="1"/>
      </rPr>
      <t>2</t>
    </r>
    <r>
      <rPr>
        <sz val="11"/>
        <color theme="1"/>
        <rFont val="ＭＳ Ｐ明朝"/>
        <family val="1"/>
        <charset val="128"/>
      </rPr>
      <t>相試験が実施されている。</t>
    </r>
    <rPh sb="14" eb="16">
      <t>カンジャ</t>
    </rPh>
    <rPh sb="17" eb="19">
      <t>タイショウ</t>
    </rPh>
    <rPh sb="28" eb="30">
      <t>ケッカ</t>
    </rPh>
    <rPh sb="31" eb="32">
      <t>ウ</t>
    </rPh>
    <rPh sb="44" eb="46">
      <t>カンジャ</t>
    </rPh>
    <rPh sb="47" eb="49">
      <t>タイショウ</t>
    </rPh>
    <rPh sb="52" eb="53">
      <t>ダイ</t>
    </rPh>
    <rPh sb="54" eb="57">
      <t>ソウシケン</t>
    </rPh>
    <rPh sb="58" eb="60">
      <t>ジッシ</t>
    </rPh>
    <phoneticPr fontId="17"/>
  </si>
  <si>
    <r>
      <rPr>
        <sz val="11"/>
        <color theme="1"/>
        <rFont val="ＭＳ Ｐ明朝"/>
        <family val="1"/>
        <charset val="128"/>
      </rPr>
      <t>血中ヘモグロビンに与える影響を測る第</t>
    </r>
    <r>
      <rPr>
        <sz val="11"/>
        <color theme="1"/>
        <rFont val="Times New Roman"/>
        <family val="1"/>
      </rPr>
      <t>1</t>
    </r>
    <r>
      <rPr>
        <sz val="11"/>
        <color theme="1"/>
        <rFont val="ＭＳ Ｐ明朝"/>
        <family val="1"/>
        <charset val="128"/>
      </rPr>
      <t>相試験が実施されている。</t>
    </r>
    <rPh sb="0" eb="2">
      <t>ケッチュウ</t>
    </rPh>
    <rPh sb="9" eb="10">
      <t>アタ</t>
    </rPh>
    <rPh sb="12" eb="14">
      <t>エイキョウ</t>
    </rPh>
    <rPh sb="15" eb="16">
      <t>ハカ</t>
    </rPh>
    <rPh sb="17" eb="18">
      <t>ダイ</t>
    </rPh>
    <rPh sb="19" eb="22">
      <t>ソウシケン</t>
    </rPh>
    <rPh sb="23" eb="25">
      <t>ジッシ</t>
    </rPh>
    <phoneticPr fontId="17"/>
  </si>
  <si>
    <r>
      <t>2013</t>
    </r>
    <r>
      <rPr>
        <sz val="11"/>
        <color theme="1"/>
        <rFont val="ＭＳ Ｐ明朝"/>
        <family val="1"/>
        <charset val="128"/>
      </rPr>
      <t>年</t>
    </r>
    <r>
      <rPr>
        <sz val="11"/>
        <color theme="1"/>
        <rFont val="Times New Roman"/>
        <family val="1"/>
      </rPr>
      <t>5</t>
    </r>
    <r>
      <rPr>
        <sz val="11"/>
        <color theme="1"/>
        <rFont val="ＭＳ Ｐ明朝"/>
        <family val="1"/>
        <charset val="128"/>
      </rPr>
      <t>月より、軽度のアルツハイマー病、軽度認知障害患者を対象とした第</t>
    </r>
    <r>
      <rPr>
        <sz val="11"/>
        <color theme="1"/>
        <rFont val="Times New Roman"/>
        <family val="1"/>
      </rPr>
      <t>1</t>
    </r>
    <r>
      <rPr>
        <sz val="11"/>
        <color theme="1"/>
        <rFont val="ＭＳ Ｐ明朝"/>
        <family val="1"/>
        <charset val="128"/>
      </rPr>
      <t>相試験が開始された。</t>
    </r>
    <rPh sb="4" eb="5">
      <t>ネン</t>
    </rPh>
    <rPh sb="6" eb="7">
      <t>ガツ</t>
    </rPh>
    <rPh sb="28" eb="30">
      <t>カンジャ</t>
    </rPh>
    <rPh sb="31" eb="33">
      <t>タイショウ</t>
    </rPh>
    <rPh sb="36" eb="37">
      <t>ダイ</t>
    </rPh>
    <rPh sb="38" eb="39">
      <t>ソウ</t>
    </rPh>
    <rPh sb="39" eb="41">
      <t>シケン</t>
    </rPh>
    <rPh sb="42" eb="44">
      <t>カイシ</t>
    </rPh>
    <phoneticPr fontId="17"/>
  </si>
  <si>
    <r>
      <rPr>
        <sz val="11"/>
        <color theme="1"/>
        <rFont val="ＭＳ Ｐ明朝"/>
        <family val="1"/>
        <charset val="128"/>
      </rPr>
      <t>関節リウマチ患者に対する二重盲検プラセボ対象第</t>
    </r>
    <r>
      <rPr>
        <sz val="11"/>
        <color theme="1"/>
        <rFont val="Times New Roman"/>
        <family val="1"/>
      </rPr>
      <t>2</t>
    </r>
    <r>
      <rPr>
        <sz val="11"/>
        <color theme="1"/>
        <rFont val="ＭＳ Ｐ明朝"/>
        <family val="1"/>
        <charset val="128"/>
      </rPr>
      <t xml:space="preserve">相試験を行ったところ、急速な臨床反応が見られた。
</t>
    </r>
    <r>
      <rPr>
        <sz val="11"/>
        <color theme="1"/>
        <rFont val="Times New Roman"/>
        <family val="1"/>
      </rPr>
      <t>mononuclear phagocyte pathway</t>
    </r>
    <r>
      <rPr>
        <sz val="11"/>
        <color theme="1"/>
        <rFont val="ＭＳ Ｐ明朝"/>
        <family val="1"/>
        <charset val="128"/>
      </rPr>
      <t>を阻害する新たな薬として認証が期待されている。</t>
    </r>
    <rPh sb="0" eb="2">
      <t>カンセツ</t>
    </rPh>
    <rPh sb="6" eb="8">
      <t>カンジャ</t>
    </rPh>
    <rPh sb="9" eb="10">
      <t>タイ</t>
    </rPh>
    <rPh sb="12" eb="14">
      <t>ニジュウ</t>
    </rPh>
    <rPh sb="14" eb="15">
      <t>モウ</t>
    </rPh>
    <rPh sb="15" eb="16">
      <t>ケン</t>
    </rPh>
    <rPh sb="20" eb="22">
      <t>タイショウ</t>
    </rPh>
    <rPh sb="22" eb="23">
      <t>ダイ</t>
    </rPh>
    <rPh sb="24" eb="25">
      <t>ソウ</t>
    </rPh>
    <rPh sb="25" eb="27">
      <t>シケン</t>
    </rPh>
    <rPh sb="28" eb="29">
      <t>オコナ</t>
    </rPh>
    <rPh sb="35" eb="37">
      <t>キュウソク</t>
    </rPh>
    <rPh sb="38" eb="40">
      <t>リンショウ</t>
    </rPh>
    <rPh sb="40" eb="42">
      <t>ハンノウ</t>
    </rPh>
    <rPh sb="43" eb="44">
      <t>ミ</t>
    </rPh>
    <rPh sb="79" eb="81">
      <t>ソガイ</t>
    </rPh>
    <rPh sb="83" eb="84">
      <t>アラ</t>
    </rPh>
    <rPh sb="86" eb="87">
      <t>クスリ</t>
    </rPh>
    <rPh sb="90" eb="92">
      <t>ニンショウ</t>
    </rPh>
    <rPh sb="93" eb="95">
      <t>キタイ</t>
    </rPh>
    <phoneticPr fontId="17"/>
  </si>
  <si>
    <r>
      <rPr>
        <sz val="11"/>
        <color theme="1"/>
        <rFont val="ＭＳ Ｐ明朝"/>
        <family val="1"/>
        <charset val="128"/>
      </rPr>
      <t>難治性慢性リンパ性白血病（</t>
    </r>
    <r>
      <rPr>
        <sz val="11"/>
        <color theme="1"/>
        <rFont val="Times New Roman"/>
        <family val="1"/>
      </rPr>
      <t>CLL</t>
    </r>
    <r>
      <rPr>
        <sz val="11"/>
        <color theme="1"/>
        <rFont val="ＭＳ Ｐ明朝"/>
        <family val="1"/>
        <charset val="128"/>
      </rPr>
      <t>）患者を対象に、</t>
    </r>
    <r>
      <rPr>
        <sz val="11"/>
        <color theme="1"/>
        <rFont val="Times New Roman"/>
        <family val="1"/>
      </rPr>
      <t>Rituximab</t>
    </r>
    <r>
      <rPr>
        <sz val="11"/>
        <color theme="1"/>
        <rFont val="ＭＳ Ｐ明朝"/>
        <family val="1"/>
        <charset val="128"/>
      </rPr>
      <t>を上回る優位性を確認する第</t>
    </r>
    <r>
      <rPr>
        <sz val="11"/>
        <color theme="1"/>
        <rFont val="Times New Roman"/>
        <family val="1"/>
      </rPr>
      <t>3</t>
    </r>
    <r>
      <rPr>
        <sz val="11"/>
        <color theme="1"/>
        <rFont val="ＭＳ Ｐ明朝"/>
        <family val="1"/>
        <charset val="128"/>
      </rPr>
      <t>相試験が実施されている。</t>
    </r>
    <rPh sb="3" eb="5">
      <t>マンセイ</t>
    </rPh>
    <rPh sb="8" eb="9">
      <t>セイ</t>
    </rPh>
    <rPh sb="9" eb="12">
      <t>ハッケツビョウ</t>
    </rPh>
    <rPh sb="17" eb="19">
      <t>カンジャ</t>
    </rPh>
    <rPh sb="20" eb="22">
      <t>タイショウ</t>
    </rPh>
    <rPh sb="34" eb="36">
      <t>ウワマワ</t>
    </rPh>
    <rPh sb="37" eb="40">
      <t>ユウイセイ</t>
    </rPh>
    <rPh sb="41" eb="43">
      <t>カクニン</t>
    </rPh>
    <rPh sb="45" eb="46">
      <t>ダイ</t>
    </rPh>
    <rPh sb="47" eb="50">
      <t>ソウシケン</t>
    </rPh>
    <rPh sb="51" eb="53">
      <t>ジッシ</t>
    </rPh>
    <phoneticPr fontId="17"/>
  </si>
  <si>
    <r>
      <rPr>
        <sz val="11"/>
        <color theme="1"/>
        <rFont val="ＭＳ Ｐ明朝"/>
        <family val="1"/>
        <charset val="128"/>
      </rPr>
      <t>現在、非小細胞肺がんと頭頸部がんを対象とする第</t>
    </r>
    <r>
      <rPr>
        <sz val="11"/>
        <color theme="1"/>
        <rFont val="Times New Roman"/>
        <family val="1"/>
      </rPr>
      <t>3</t>
    </r>
    <r>
      <rPr>
        <sz val="11"/>
        <color theme="1"/>
        <rFont val="ＭＳ Ｐ明朝"/>
        <family val="1"/>
        <charset val="128"/>
      </rPr>
      <t xml:space="preserve">相試験が実施されている。
</t>
    </r>
    <r>
      <rPr>
        <sz val="11"/>
        <color theme="1"/>
        <rFont val="Times New Roman"/>
        <family val="1"/>
      </rPr>
      <t>2015</t>
    </r>
    <r>
      <rPr>
        <sz val="11"/>
        <color theme="1"/>
        <rFont val="ＭＳ Ｐ明朝"/>
        <family val="1"/>
        <charset val="128"/>
      </rPr>
      <t>年</t>
    </r>
    <r>
      <rPr>
        <sz val="11"/>
        <color theme="1"/>
        <rFont val="Times New Roman"/>
        <family val="1"/>
      </rPr>
      <t>4</t>
    </r>
    <r>
      <rPr>
        <sz val="11"/>
        <color theme="1"/>
        <rFont val="ＭＳ Ｐ明朝"/>
        <family val="1"/>
        <charset val="128"/>
      </rPr>
      <t>月、全臨床試験における開発を</t>
    </r>
    <r>
      <rPr>
        <sz val="11"/>
        <color theme="1"/>
        <rFont val="Times New Roman"/>
        <family val="1"/>
      </rPr>
      <t>celgene</t>
    </r>
    <r>
      <rPr>
        <sz val="11"/>
        <color theme="1"/>
        <rFont val="ＭＳ Ｐ明朝"/>
        <family val="1"/>
        <charset val="128"/>
      </rPr>
      <t>社が主導する事が決定した。</t>
    </r>
    <rPh sb="0" eb="2">
      <t>ゲンザイ</t>
    </rPh>
    <rPh sb="28" eb="30">
      <t>ジッシ</t>
    </rPh>
    <rPh sb="41" eb="42">
      <t>ネン</t>
    </rPh>
    <rPh sb="43" eb="44">
      <t>ガツ</t>
    </rPh>
    <rPh sb="64" eb="65">
      <t>シャ</t>
    </rPh>
    <rPh sb="70" eb="71">
      <t>コト</t>
    </rPh>
    <rPh sb="72" eb="74">
      <t>ケッテイ</t>
    </rPh>
    <phoneticPr fontId="17"/>
  </si>
  <si>
    <r>
      <t>IL-5</t>
    </r>
    <r>
      <rPr>
        <sz val="11"/>
        <color theme="1"/>
        <rFont val="ＭＳ Ｐ明朝"/>
        <family val="1"/>
        <charset val="128"/>
      </rPr>
      <t>を標的とした、重度の好酸球性喘息治療薬である。</t>
    </r>
    <rPh sb="5" eb="7">
      <t>ヒョウテキ</t>
    </rPh>
    <rPh sb="11" eb="13">
      <t>ジュウド</t>
    </rPh>
    <rPh sb="14" eb="15">
      <t>ヨシミ</t>
    </rPh>
    <rPh sb="15" eb="16">
      <t>サン</t>
    </rPh>
    <rPh sb="16" eb="17">
      <t>キュウ</t>
    </rPh>
    <rPh sb="17" eb="18">
      <t>セイ</t>
    </rPh>
    <rPh sb="18" eb="20">
      <t>ゼンソク</t>
    </rPh>
    <rPh sb="20" eb="23">
      <t>チリョウヤク</t>
    </rPh>
    <phoneticPr fontId="17"/>
  </si>
  <si>
    <r>
      <rPr>
        <sz val="11"/>
        <color theme="1"/>
        <rFont val="ＭＳ Ｐ明朝"/>
        <family val="1"/>
        <charset val="128"/>
      </rPr>
      <t>再発性非ホジキンリンパ腫（</t>
    </r>
    <r>
      <rPr>
        <sz val="11"/>
        <color theme="1"/>
        <rFont val="Times New Roman"/>
        <family val="1"/>
      </rPr>
      <t>NHL</t>
    </r>
    <r>
      <rPr>
        <sz val="11"/>
        <color theme="1"/>
        <rFont val="ＭＳ Ｐ明朝"/>
        <family val="1"/>
        <charset val="128"/>
      </rPr>
      <t>）及び慢性リンパ性白血病（</t>
    </r>
    <r>
      <rPr>
        <sz val="11"/>
        <color theme="1"/>
        <rFont val="Times New Roman"/>
        <family val="1"/>
      </rPr>
      <t>CLL</t>
    </r>
    <r>
      <rPr>
        <sz val="11"/>
        <color theme="1"/>
        <rFont val="ＭＳ Ｐ明朝"/>
        <family val="1"/>
        <charset val="128"/>
      </rPr>
      <t>）の患者に対する、第</t>
    </r>
    <r>
      <rPr>
        <sz val="11"/>
        <color theme="1"/>
        <rFont val="Times New Roman"/>
        <family val="1"/>
      </rPr>
      <t>1</t>
    </r>
    <r>
      <rPr>
        <sz val="11"/>
        <color theme="1"/>
        <rFont val="ＭＳ Ｐ明朝"/>
        <family val="1"/>
        <charset val="128"/>
      </rPr>
      <t>相試験の結果が良好であった。
現在、再発性多発性骨髄腫患者を対象とした、</t>
    </r>
    <r>
      <rPr>
        <sz val="11"/>
        <color theme="1"/>
        <rFont val="Times New Roman"/>
        <family val="1"/>
      </rPr>
      <t>veltuzumab</t>
    </r>
    <r>
      <rPr>
        <sz val="11"/>
        <color theme="1"/>
        <rFont val="ＭＳ Ｐ明朝"/>
        <family val="1"/>
        <charset val="128"/>
      </rPr>
      <t>併用の第</t>
    </r>
    <r>
      <rPr>
        <sz val="11"/>
        <color theme="1"/>
        <rFont val="Times New Roman"/>
        <family val="1"/>
      </rPr>
      <t>1/2</t>
    </r>
    <r>
      <rPr>
        <sz val="11"/>
        <color theme="1"/>
        <rFont val="ＭＳ Ｐ明朝"/>
        <family val="1"/>
        <charset val="128"/>
      </rPr>
      <t>相試験が実施されている。</t>
    </r>
    <rPh sb="17" eb="18">
      <t>オヨ</t>
    </rPh>
    <rPh sb="37" eb="38">
      <t>タイ</t>
    </rPh>
    <rPh sb="41" eb="42">
      <t>ダイ</t>
    </rPh>
    <rPh sb="43" eb="44">
      <t>ソウ</t>
    </rPh>
    <rPh sb="44" eb="46">
      <t>シケン</t>
    </rPh>
    <rPh sb="47" eb="49">
      <t>ケッカ</t>
    </rPh>
    <rPh sb="50" eb="52">
      <t>リョウコウ</t>
    </rPh>
    <rPh sb="58" eb="60">
      <t>ゲンザイ</t>
    </rPh>
    <rPh sb="73" eb="75">
      <t>タイショウ</t>
    </rPh>
    <rPh sb="89" eb="91">
      <t>ヘイヨウ</t>
    </rPh>
    <rPh sb="92" eb="93">
      <t>ダイ</t>
    </rPh>
    <rPh sb="96" eb="97">
      <t>ソウ</t>
    </rPh>
    <rPh sb="97" eb="99">
      <t>シケン</t>
    </rPh>
    <rPh sb="100" eb="102">
      <t>ジッシ</t>
    </rPh>
    <phoneticPr fontId="17"/>
  </si>
  <si>
    <r>
      <rPr>
        <sz val="11"/>
        <color theme="1"/>
        <rFont val="ＭＳ Ｐ明朝"/>
        <family val="1"/>
        <charset val="128"/>
      </rPr>
      <t>かつて、悪性黒色腫、小細胞肺がんの処方薬として開発が進められていた。</t>
    </r>
    <rPh sb="17" eb="20">
      <t>ショホウヤク</t>
    </rPh>
    <phoneticPr fontId="17"/>
  </si>
  <si>
    <r>
      <rPr>
        <sz val="11"/>
        <color theme="1"/>
        <rFont val="ＭＳ Ｐ明朝"/>
        <family val="1"/>
        <charset val="128"/>
      </rPr>
      <t>末梢性</t>
    </r>
    <r>
      <rPr>
        <sz val="11"/>
        <color theme="1"/>
        <rFont val="Times New Roman"/>
        <family val="1"/>
      </rPr>
      <t>T</t>
    </r>
    <r>
      <rPr>
        <sz val="11"/>
        <color theme="1"/>
        <rFont val="ＭＳ Ｐ明朝"/>
        <family val="1"/>
        <charset val="128"/>
      </rPr>
      <t>細胞リンパ腫、皮膚</t>
    </r>
    <r>
      <rPr>
        <sz val="11"/>
        <color theme="1"/>
        <rFont val="Times New Roman"/>
        <family val="1"/>
      </rPr>
      <t>T</t>
    </r>
    <r>
      <rPr>
        <sz val="11"/>
        <color theme="1"/>
        <rFont val="ＭＳ Ｐ明朝"/>
        <family val="1"/>
        <charset val="128"/>
      </rPr>
      <t xml:space="preserve">細胞リンパ腫の治療薬である。
副作用として、リンパ球数減少、白血球減少、好中球数減少、血小板数減少等の血液毒性や、発熱、皮膚障害（発疹等）、急性輸注反応等の非血液毒性が確認されている。
</t>
    </r>
    <r>
      <rPr>
        <sz val="11"/>
        <color theme="1"/>
        <rFont val="Times New Roman"/>
        <family val="1"/>
      </rPr>
      <t>VCAP</t>
    </r>
    <r>
      <rPr>
        <sz val="11"/>
        <color theme="1"/>
        <rFont val="ＭＳ Ｐ明朝"/>
        <family val="1"/>
        <charset val="128"/>
      </rPr>
      <t>、</t>
    </r>
    <r>
      <rPr>
        <sz val="11"/>
        <color theme="1"/>
        <rFont val="Times New Roman"/>
        <family val="1"/>
      </rPr>
      <t>AMP</t>
    </r>
    <r>
      <rPr>
        <sz val="11"/>
        <color theme="1"/>
        <rFont val="ＭＳ Ｐ明朝"/>
        <family val="1"/>
        <charset val="128"/>
      </rPr>
      <t>、</t>
    </r>
    <r>
      <rPr>
        <sz val="11"/>
        <color theme="1"/>
        <rFont val="Times New Roman"/>
        <family val="1"/>
      </rPr>
      <t>VECP</t>
    </r>
    <r>
      <rPr>
        <sz val="11"/>
        <color theme="1"/>
        <rFont val="ＭＳ Ｐ明朝"/>
        <family val="1"/>
        <charset val="128"/>
      </rPr>
      <t>を併用投与して用いる。</t>
    </r>
    <rPh sb="29" eb="32">
      <t>フクサヨウ</t>
    </rPh>
    <rPh sb="98" eb="100">
      <t>カクニン</t>
    </rPh>
    <rPh sb="121" eb="123">
      <t>ヘイヨウ</t>
    </rPh>
    <rPh sb="123" eb="125">
      <t>トウヨ</t>
    </rPh>
    <rPh sb="127" eb="128">
      <t>モチ</t>
    </rPh>
    <phoneticPr fontId="17"/>
  </si>
  <si>
    <r>
      <rPr>
        <sz val="11"/>
        <color theme="1"/>
        <rFont val="ＭＳ Ｐ明朝"/>
        <family val="1"/>
        <charset val="128"/>
      </rPr>
      <t>再発・難治性有毛細胞白血病（</t>
    </r>
    <r>
      <rPr>
        <sz val="11"/>
        <color theme="1"/>
        <rFont val="Times New Roman"/>
        <family val="1"/>
      </rPr>
      <t>HCL</t>
    </r>
    <r>
      <rPr>
        <sz val="11"/>
        <color theme="1"/>
        <rFont val="ＭＳ Ｐ明朝"/>
        <family val="1"/>
        <charset val="128"/>
      </rPr>
      <t>）患者に対する第</t>
    </r>
    <r>
      <rPr>
        <sz val="11"/>
        <color theme="1"/>
        <rFont val="Times New Roman"/>
        <family val="1"/>
      </rPr>
      <t>1</t>
    </r>
    <r>
      <rPr>
        <sz val="11"/>
        <color theme="1"/>
        <rFont val="ＭＳ Ｐ明朝"/>
        <family val="1"/>
        <charset val="128"/>
      </rPr>
      <t>相試験の結果、用量制限毒性を伴わないものと同様の応答速度を実現した。
現在、第</t>
    </r>
    <r>
      <rPr>
        <sz val="11"/>
        <color theme="1"/>
        <rFont val="Times New Roman"/>
        <family val="1"/>
      </rPr>
      <t>3</t>
    </r>
    <r>
      <rPr>
        <sz val="11"/>
        <color theme="1"/>
        <rFont val="ＭＳ Ｐ明朝"/>
        <family val="1"/>
        <charset val="128"/>
      </rPr>
      <t>相試験が実施されている。</t>
    </r>
    <rPh sb="18" eb="20">
      <t>カンジャ</t>
    </rPh>
    <rPh sb="21" eb="22">
      <t>タイ</t>
    </rPh>
    <rPh sb="24" eb="25">
      <t>ダイ</t>
    </rPh>
    <rPh sb="26" eb="27">
      <t>ソウ</t>
    </rPh>
    <rPh sb="27" eb="29">
      <t>シケン</t>
    </rPh>
    <rPh sb="30" eb="32">
      <t>ケッカ</t>
    </rPh>
    <rPh sb="61" eb="63">
      <t>ゲンザイ</t>
    </rPh>
    <rPh sb="64" eb="65">
      <t>ダイ</t>
    </rPh>
    <rPh sb="66" eb="67">
      <t>ソウ</t>
    </rPh>
    <rPh sb="67" eb="69">
      <t>シケン</t>
    </rPh>
    <rPh sb="70" eb="72">
      <t>ジッシ</t>
    </rPh>
    <phoneticPr fontId="17"/>
  </si>
  <si>
    <r>
      <rPr>
        <sz val="11"/>
        <color theme="1"/>
        <rFont val="ＭＳ Ｐ明朝"/>
        <family val="1"/>
        <charset val="128"/>
      </rPr>
      <t>腎臓移植後の臓器拒絶反応を防ぐために用いられる。</t>
    </r>
    <rPh sb="13" eb="14">
      <t>フセ</t>
    </rPh>
    <rPh sb="18" eb="19">
      <t>モチ</t>
    </rPh>
    <phoneticPr fontId="17"/>
  </si>
  <si>
    <r>
      <rPr>
        <sz val="11"/>
        <color theme="1"/>
        <rFont val="ＭＳ Ｐ明朝"/>
        <family val="1"/>
        <charset val="128"/>
      </rPr>
      <t>進行性多巣性白質脳症（</t>
    </r>
    <r>
      <rPr>
        <sz val="11"/>
        <color theme="1"/>
        <rFont val="Times New Roman"/>
        <family val="1"/>
      </rPr>
      <t>PML</t>
    </r>
    <r>
      <rPr>
        <sz val="11"/>
        <color theme="1"/>
        <rFont val="ＭＳ Ｐ明朝"/>
        <family val="1"/>
        <charset val="128"/>
      </rPr>
      <t>）の治療薬である。
副作用として、脳炎や髄膜炎、肝臓傷害、重度のアレルギー反応、免疫システムの弱体化が確認されている。</t>
    </r>
    <rPh sb="24" eb="27">
      <t>フクサヨウ</t>
    </rPh>
    <rPh sb="65" eb="67">
      <t>カクニン</t>
    </rPh>
    <phoneticPr fontId="17"/>
  </si>
  <si>
    <r>
      <t>IV</t>
    </r>
    <r>
      <rPr>
        <sz val="11"/>
        <color theme="1"/>
        <rFont val="ＭＳ Ｐ明朝"/>
        <family val="1"/>
        <charset val="128"/>
      </rPr>
      <t>期の進行扁平上皮非小細胞肺がんの患者に対し、</t>
    </r>
    <r>
      <rPr>
        <sz val="11"/>
        <color theme="1"/>
        <rFont val="Times New Roman"/>
        <family val="1"/>
      </rPr>
      <t>gemcitabine + cisplatin</t>
    </r>
    <r>
      <rPr>
        <sz val="11"/>
        <color theme="1"/>
        <rFont val="ＭＳ Ｐ明朝"/>
        <family val="1"/>
        <charset val="128"/>
      </rPr>
      <t>に併用投与する第</t>
    </r>
    <r>
      <rPr>
        <sz val="11"/>
        <color theme="1"/>
        <rFont val="Times New Roman"/>
        <family val="1"/>
      </rPr>
      <t>3</t>
    </r>
    <r>
      <rPr>
        <sz val="11"/>
        <color theme="1"/>
        <rFont val="ＭＳ Ｐ明朝"/>
        <family val="1"/>
        <charset val="128"/>
      </rPr>
      <t>相</t>
    </r>
    <r>
      <rPr>
        <sz val="11"/>
        <color theme="1"/>
        <rFont val="Times New Roman"/>
        <family val="1"/>
      </rPr>
      <t>SQUIRE</t>
    </r>
    <r>
      <rPr>
        <sz val="11"/>
        <color theme="1"/>
        <rFont val="ＭＳ Ｐ明朝"/>
        <family val="1"/>
        <charset val="128"/>
      </rPr>
      <t>試験の結果、全生存期間において統計的に有意な改善が認められた。</t>
    </r>
    <rPh sb="21" eb="22">
      <t>タイ</t>
    </rPh>
    <rPh sb="66" eb="68">
      <t>ケッカ</t>
    </rPh>
    <phoneticPr fontId="17"/>
  </si>
  <si>
    <r>
      <rPr>
        <sz val="11"/>
        <color theme="1"/>
        <rFont val="ＭＳ Ｐ明朝"/>
        <family val="1"/>
        <charset val="128"/>
      </rPr>
      <t>かつて、抗がん剤として開発が進められていた。</t>
    </r>
    <rPh sb="4" eb="5">
      <t>コウ</t>
    </rPh>
    <rPh sb="7" eb="8">
      <t>ザイ</t>
    </rPh>
    <phoneticPr fontId="17"/>
  </si>
  <si>
    <r>
      <rPr>
        <sz val="11"/>
        <color theme="1"/>
        <rFont val="ＭＳ Ｐ明朝"/>
        <family val="1"/>
        <charset val="128"/>
      </rPr>
      <t>切除不能または転移性黒色腫の治療薬である。
副作用として、発疹、かゆみ、咳、上気道感染症、及び体液貯留が確認されている。</t>
    </r>
    <rPh sb="10" eb="13">
      <t>コクショクシュ</t>
    </rPh>
    <rPh sb="22" eb="25">
      <t>フクサヨウ</t>
    </rPh>
    <rPh sb="45" eb="46">
      <t>オヨ</t>
    </rPh>
    <rPh sb="52" eb="54">
      <t>カクニン</t>
    </rPh>
    <phoneticPr fontId="17"/>
  </si>
  <si>
    <r>
      <rPr>
        <sz val="11"/>
        <color theme="1"/>
        <rFont val="ＭＳ Ｐ明朝"/>
        <family val="1"/>
        <charset val="128"/>
      </rPr>
      <t>第</t>
    </r>
    <r>
      <rPr>
        <sz val="11"/>
        <color theme="1"/>
        <rFont val="Times New Roman"/>
        <family val="1"/>
      </rPr>
      <t>3</t>
    </r>
    <r>
      <rPr>
        <sz val="11"/>
        <color theme="1"/>
        <rFont val="ＭＳ Ｐ明朝"/>
        <family val="1"/>
        <charset val="128"/>
      </rPr>
      <t>相試験の結果、安全性及び有効性の観点から総合的な利点が見出されなかったため、開発が中止された。</t>
    </r>
    <rPh sb="0" eb="1">
      <t>ダイ</t>
    </rPh>
    <rPh sb="2" eb="3">
      <t>ソウ</t>
    </rPh>
    <rPh sb="3" eb="5">
      <t>シケン</t>
    </rPh>
    <rPh sb="6" eb="8">
      <t>ケッカ</t>
    </rPh>
    <rPh sb="9" eb="12">
      <t>アンゼンセイ</t>
    </rPh>
    <rPh sb="12" eb="13">
      <t>オヨ</t>
    </rPh>
    <rPh sb="14" eb="17">
      <t>ユウコウセイ</t>
    </rPh>
    <rPh sb="18" eb="20">
      <t>カンテン</t>
    </rPh>
    <rPh sb="22" eb="25">
      <t>ソウゴウテキ</t>
    </rPh>
    <rPh sb="26" eb="28">
      <t>リテン</t>
    </rPh>
    <rPh sb="29" eb="31">
      <t>ミイダ</t>
    </rPh>
    <rPh sb="40" eb="42">
      <t>カイハツ</t>
    </rPh>
    <rPh sb="43" eb="45">
      <t>チュウシ</t>
    </rPh>
    <phoneticPr fontId="17"/>
  </si>
  <si>
    <r>
      <t>B</t>
    </r>
    <r>
      <rPr>
        <sz val="11"/>
        <color theme="1"/>
        <rFont val="ＭＳ Ｐ明朝"/>
        <family val="1"/>
        <charset val="128"/>
      </rPr>
      <t>細胞表面の</t>
    </r>
    <r>
      <rPr>
        <sz val="11"/>
        <color theme="1"/>
        <rFont val="Times New Roman"/>
        <family val="1"/>
      </rPr>
      <t>CD20</t>
    </r>
    <r>
      <rPr>
        <sz val="11"/>
        <color theme="1"/>
        <rFont val="ＭＳ Ｐ明朝"/>
        <family val="1"/>
        <charset val="128"/>
      </rPr>
      <t>を標的とした、慢性リンパ球性白血病治療薬である。</t>
    </r>
    <rPh sb="1" eb="3">
      <t>サイボウ</t>
    </rPh>
    <rPh sb="3" eb="5">
      <t>ヒョウメン</t>
    </rPh>
    <rPh sb="11" eb="13">
      <t>ヒョウテキ</t>
    </rPh>
    <phoneticPr fontId="17"/>
  </si>
  <si>
    <r>
      <rPr>
        <sz val="11"/>
        <color theme="1"/>
        <rFont val="ＭＳ Ｐ明朝"/>
        <family val="1"/>
        <charset val="128"/>
      </rPr>
      <t xml:space="preserve">アレルギー反応におけるメディエーター放出を抑制する。
</t>
    </r>
    <r>
      <rPr>
        <sz val="11"/>
        <color theme="1"/>
        <rFont val="Times New Roman"/>
        <family val="1"/>
      </rPr>
      <t>chlorambucil</t>
    </r>
    <r>
      <rPr>
        <sz val="11"/>
        <color theme="1"/>
        <rFont val="ＭＳ Ｐ明朝"/>
        <family val="1"/>
        <charset val="128"/>
      </rPr>
      <t>と組み合わせて用いられる。</t>
    </r>
    <rPh sb="21" eb="23">
      <t>ヨクセイ</t>
    </rPh>
    <rPh sb="40" eb="41">
      <t>ク</t>
    </rPh>
    <rPh sb="42" eb="43">
      <t>ア</t>
    </rPh>
    <rPh sb="46" eb="47">
      <t>モチ</t>
    </rPh>
    <phoneticPr fontId="17"/>
  </si>
  <si>
    <r>
      <t>1</t>
    </r>
    <r>
      <rPr>
        <sz val="11"/>
        <color theme="1"/>
        <rFont val="ＭＳ Ｐ明朝"/>
        <family val="1"/>
        <charset val="128"/>
      </rPr>
      <t>型糖尿病患者に対する第</t>
    </r>
    <r>
      <rPr>
        <sz val="11"/>
        <color theme="1"/>
        <rFont val="Times New Roman"/>
        <family val="1"/>
      </rPr>
      <t>3</t>
    </r>
    <r>
      <rPr>
        <sz val="11"/>
        <color theme="1"/>
        <rFont val="ＭＳ Ｐ明朝"/>
        <family val="1"/>
        <charset val="128"/>
      </rPr>
      <t>相試験が実施されたが、期待された効果である膵臓</t>
    </r>
    <r>
      <rPr>
        <sz val="11"/>
        <color theme="1"/>
        <rFont val="Times New Roman"/>
        <family val="1"/>
      </rPr>
      <t>β</t>
    </r>
    <r>
      <rPr>
        <sz val="11"/>
        <color theme="1"/>
        <rFont val="ＭＳ Ｐ明朝"/>
        <family val="1"/>
        <charset val="128"/>
      </rPr>
      <t xml:space="preserve">細胞の機能保持が見られず、認可されなかった。
</t>
    </r>
    <r>
      <rPr>
        <sz val="11"/>
        <color theme="1"/>
        <rFont val="Times New Roman"/>
        <family val="1"/>
      </rPr>
      <t>2014</t>
    </r>
    <r>
      <rPr>
        <sz val="11"/>
        <color theme="1"/>
        <rFont val="ＭＳ Ｐ明朝"/>
        <family val="1"/>
        <charset val="128"/>
      </rPr>
      <t>年に再登録を受け、用量忍容性を探る第</t>
    </r>
    <r>
      <rPr>
        <sz val="11"/>
        <color theme="1"/>
        <rFont val="Times New Roman"/>
        <family val="1"/>
      </rPr>
      <t>1/2a</t>
    </r>
    <r>
      <rPr>
        <sz val="11"/>
        <color theme="1"/>
        <rFont val="ＭＳ Ｐ明朝"/>
        <family val="1"/>
        <charset val="128"/>
      </rPr>
      <t>相試験が実施されている。</t>
    </r>
    <rPh sb="8" eb="9">
      <t>タイ</t>
    </rPh>
    <rPh sb="11" eb="12">
      <t>ダイ</t>
    </rPh>
    <rPh sb="13" eb="14">
      <t>ソウ</t>
    </rPh>
    <rPh sb="14" eb="16">
      <t>シケン</t>
    </rPh>
    <rPh sb="17" eb="19">
      <t>ジッシ</t>
    </rPh>
    <rPh sb="24" eb="26">
      <t>キタイ</t>
    </rPh>
    <rPh sb="29" eb="31">
      <t>コウカ</t>
    </rPh>
    <rPh sb="34" eb="36">
      <t>スイゾウ</t>
    </rPh>
    <rPh sb="45" eb="46">
      <t>ミ</t>
    </rPh>
    <rPh sb="50" eb="52">
      <t>ニンカ</t>
    </rPh>
    <rPh sb="64" eb="65">
      <t>ネン</t>
    </rPh>
    <rPh sb="66" eb="69">
      <t>サイトウロク</t>
    </rPh>
    <rPh sb="70" eb="71">
      <t>ウ</t>
    </rPh>
    <rPh sb="73" eb="74">
      <t>ヨウ</t>
    </rPh>
    <rPh sb="79" eb="80">
      <t>サグ</t>
    </rPh>
    <rPh sb="81" eb="82">
      <t>ダイ</t>
    </rPh>
    <rPh sb="86" eb="87">
      <t>ソウ</t>
    </rPh>
    <rPh sb="87" eb="89">
      <t>シケン</t>
    </rPh>
    <rPh sb="90" eb="92">
      <t>ジッシ</t>
    </rPh>
    <phoneticPr fontId="17"/>
  </si>
  <si>
    <r>
      <rPr>
        <sz val="11"/>
        <color theme="1"/>
        <rFont val="ＭＳ Ｐ明朝"/>
        <family val="1"/>
        <charset val="128"/>
      </rPr>
      <t>筋萎縮性側索硬化症患者を対象に、安全性、薬物動態、機能およびバイオマーカーの効果を評価する第</t>
    </r>
    <r>
      <rPr>
        <sz val="11"/>
        <color theme="1"/>
        <rFont val="Times New Roman"/>
        <family val="1"/>
      </rPr>
      <t>1/2a</t>
    </r>
    <r>
      <rPr>
        <sz val="11"/>
        <color theme="1"/>
        <rFont val="ＭＳ Ｐ明朝"/>
        <family val="1"/>
        <charset val="128"/>
      </rPr>
      <t>相試験を行ったところ、忍容性が良好だった。
現在、有効性と安全性を評価する第</t>
    </r>
    <r>
      <rPr>
        <sz val="11"/>
        <color theme="1"/>
        <rFont val="Times New Roman"/>
        <family val="1"/>
      </rPr>
      <t>II</t>
    </r>
    <r>
      <rPr>
        <sz val="11"/>
        <color theme="1"/>
        <rFont val="ＭＳ Ｐ明朝"/>
        <family val="1"/>
        <charset val="128"/>
      </rPr>
      <t>相試験が実施されている。</t>
    </r>
    <rPh sb="9" eb="11">
      <t>カンジャ</t>
    </rPh>
    <rPh sb="12" eb="14">
      <t>タイショウ</t>
    </rPh>
    <rPh sb="45" eb="46">
      <t>ダイ</t>
    </rPh>
    <rPh sb="50" eb="51">
      <t>ソウ</t>
    </rPh>
    <rPh sb="51" eb="53">
      <t>シケン</t>
    </rPh>
    <rPh sb="54" eb="55">
      <t>オコナ</t>
    </rPh>
    <rPh sb="61" eb="62">
      <t>ニン</t>
    </rPh>
    <rPh sb="62" eb="63">
      <t>ヨウ</t>
    </rPh>
    <rPh sb="63" eb="64">
      <t>セイ</t>
    </rPh>
    <rPh sb="65" eb="67">
      <t>リョウコウ</t>
    </rPh>
    <rPh sb="72" eb="74">
      <t>ゲンザイ</t>
    </rPh>
    <rPh sb="83" eb="85">
      <t>ヒョウカ</t>
    </rPh>
    <rPh sb="94" eb="96">
      <t>ジッシ</t>
    </rPh>
    <phoneticPr fontId="17"/>
  </si>
  <si>
    <r>
      <rPr>
        <sz val="11"/>
        <color theme="1"/>
        <rFont val="ＭＳ Ｐ明朝"/>
        <family val="1"/>
        <charset val="128"/>
      </rPr>
      <t>小児の</t>
    </r>
    <r>
      <rPr>
        <sz val="11"/>
        <color theme="1"/>
        <rFont val="Times New Roman"/>
        <family val="1"/>
      </rPr>
      <t>RSV</t>
    </r>
    <r>
      <rPr>
        <sz val="11"/>
        <color theme="1"/>
        <rFont val="ＭＳ Ｐ明朝"/>
        <family val="1"/>
        <charset val="128"/>
      </rPr>
      <t>感染症治療薬である。</t>
    </r>
    <rPh sb="9" eb="12">
      <t>チリョウヤク</t>
    </rPh>
    <phoneticPr fontId="17"/>
  </si>
  <si>
    <r>
      <t>EGFR</t>
    </r>
    <r>
      <rPr>
        <sz val="11"/>
        <color theme="1"/>
        <rFont val="ＭＳ Ｐ明朝"/>
        <family val="1"/>
        <charset val="128"/>
      </rPr>
      <t>を標的とした、転移性結腸直腸がんの治療薬である。</t>
    </r>
    <rPh sb="5" eb="7">
      <t>ヒョウテキ</t>
    </rPh>
    <rPh sb="21" eb="24">
      <t>チリョウヤク</t>
    </rPh>
    <phoneticPr fontId="17"/>
  </si>
  <si>
    <r>
      <rPr>
        <sz val="11"/>
        <color theme="1"/>
        <rFont val="ＭＳ Ｐ明朝"/>
        <family val="1"/>
        <charset val="128"/>
      </rPr>
      <t>かつて、喘息の治療薬として開発が進められていた。</t>
    </r>
    <rPh sb="4" eb="6">
      <t>ゼンソク</t>
    </rPh>
    <rPh sb="7" eb="10">
      <t>チリョウヤク</t>
    </rPh>
    <rPh sb="13" eb="15">
      <t>カイハツ</t>
    </rPh>
    <rPh sb="16" eb="17">
      <t>スス</t>
    </rPh>
    <phoneticPr fontId="17"/>
  </si>
  <si>
    <r>
      <rPr>
        <sz val="11"/>
        <color theme="1"/>
        <rFont val="ＭＳ Ｐ明朝"/>
        <family val="1"/>
        <charset val="128"/>
      </rPr>
      <t>切除不能または転移性黒色腫の治療薬である。
副作用として、肺炎、大腸炎、肝炎、内分泌障害、及び腎炎が報告されている。</t>
    </r>
    <rPh sb="10" eb="13">
      <t>コクショクシュ</t>
    </rPh>
    <phoneticPr fontId="17"/>
  </si>
  <si>
    <r>
      <t>HER2</t>
    </r>
    <r>
      <rPr>
        <sz val="11"/>
        <color theme="1"/>
        <rFont val="ＭＳ Ｐ明朝"/>
        <family val="1"/>
        <charset val="128"/>
      </rPr>
      <t>陽性転移性乳がんの治療薬である。</t>
    </r>
    <rPh sb="13" eb="16">
      <t>チリョウヤク</t>
    </rPh>
    <phoneticPr fontId="17"/>
  </si>
  <si>
    <r>
      <rPr>
        <sz val="11"/>
        <color theme="1"/>
        <rFont val="ＭＳ Ｐ明朝"/>
        <family val="1"/>
        <charset val="128"/>
      </rPr>
      <t>血液学的悪性腫瘍患者における第</t>
    </r>
    <r>
      <rPr>
        <sz val="11"/>
        <color theme="1"/>
        <rFont val="Times New Roman"/>
        <family val="1"/>
      </rPr>
      <t>1</t>
    </r>
    <r>
      <rPr>
        <sz val="11"/>
        <color theme="1"/>
        <rFont val="ＭＳ Ｐ明朝"/>
        <family val="1"/>
        <charset val="128"/>
      </rPr>
      <t>相用量漸増試験の結果、全体的な安全性が確認された。
現在、血液悪性腫瘍および固形腫瘍に対する安全性と有効性を評価する第</t>
    </r>
    <r>
      <rPr>
        <sz val="11"/>
        <color theme="1"/>
        <rFont val="Times New Roman"/>
        <family val="1"/>
      </rPr>
      <t>2</t>
    </r>
    <r>
      <rPr>
        <sz val="11"/>
        <color theme="1"/>
        <rFont val="ＭＳ Ｐ明朝"/>
        <family val="1"/>
        <charset val="128"/>
      </rPr>
      <t>相試験を実施している。
自己幹細胞移植後のびまん性大細胞型</t>
    </r>
    <r>
      <rPr>
        <sz val="11"/>
        <color theme="1"/>
        <rFont val="Times New Roman"/>
        <family val="1"/>
      </rPr>
      <t>B</t>
    </r>
    <r>
      <rPr>
        <sz val="11"/>
        <color theme="1"/>
        <rFont val="ＭＳ Ｐ明朝"/>
        <family val="1"/>
        <charset val="128"/>
      </rPr>
      <t>細胞リンパ腫患者に対する第</t>
    </r>
    <r>
      <rPr>
        <sz val="11"/>
        <color theme="1"/>
        <rFont val="Times New Roman"/>
        <family val="1"/>
      </rPr>
      <t>2</t>
    </r>
    <r>
      <rPr>
        <sz val="11"/>
        <color theme="1"/>
        <rFont val="ＭＳ Ｐ明朝"/>
        <family val="1"/>
        <charset val="128"/>
      </rPr>
      <t>相試験は完了している。</t>
    </r>
    <rPh sb="24" eb="26">
      <t>ケッカ</t>
    </rPh>
    <rPh sb="35" eb="37">
      <t>カクニン</t>
    </rPh>
    <rPh sb="42" eb="44">
      <t>ゲンザイ</t>
    </rPh>
    <rPh sb="59" eb="60">
      <t>タイ</t>
    </rPh>
    <rPh sb="70" eb="72">
      <t>ヒョウカ</t>
    </rPh>
    <rPh sb="74" eb="75">
      <t>ダイ</t>
    </rPh>
    <rPh sb="76" eb="77">
      <t>ソウ</t>
    </rPh>
    <rPh sb="77" eb="79">
      <t>シケン</t>
    </rPh>
    <rPh sb="80" eb="82">
      <t>ジッシ</t>
    </rPh>
    <rPh sb="115" eb="116">
      <t>タイ</t>
    </rPh>
    <rPh sb="118" eb="119">
      <t>ダイ</t>
    </rPh>
    <rPh sb="120" eb="121">
      <t>ソウ</t>
    </rPh>
    <rPh sb="121" eb="123">
      <t>シケン</t>
    </rPh>
    <rPh sb="124" eb="126">
      <t>カンリョウ</t>
    </rPh>
    <phoneticPr fontId="17"/>
  </si>
  <si>
    <r>
      <rPr>
        <sz val="11"/>
        <color theme="1"/>
        <rFont val="ＭＳ Ｐ明朝"/>
        <family val="1"/>
        <charset val="128"/>
      </rPr>
      <t>再発性・難治性</t>
    </r>
    <r>
      <rPr>
        <sz val="11"/>
        <color theme="1"/>
        <rFont val="Times New Roman"/>
        <family val="1"/>
      </rPr>
      <t>B</t>
    </r>
    <r>
      <rPr>
        <sz val="11"/>
        <color theme="1"/>
        <rFont val="ＭＳ Ｐ明朝"/>
        <family val="1"/>
        <charset val="128"/>
      </rPr>
      <t>細胞非ホジキンリンパ腫、慢性リンパ球性白血病の患者を対象とした第</t>
    </r>
    <r>
      <rPr>
        <sz val="11"/>
        <color theme="1"/>
        <rFont val="Times New Roman"/>
        <family val="1"/>
      </rPr>
      <t>1</t>
    </r>
    <r>
      <rPr>
        <sz val="11"/>
        <color theme="1"/>
        <rFont val="ＭＳ Ｐ明朝"/>
        <family val="1"/>
        <charset val="128"/>
      </rPr>
      <t>相試験を実施したところ、良好な結果が得られた。
この結果を受け、現在第</t>
    </r>
    <r>
      <rPr>
        <sz val="11"/>
        <color theme="1"/>
        <rFont val="Times New Roman"/>
        <family val="1"/>
      </rPr>
      <t>2</t>
    </r>
    <r>
      <rPr>
        <sz val="11"/>
        <color theme="1"/>
        <rFont val="ＭＳ Ｐ明朝"/>
        <family val="1"/>
        <charset val="128"/>
      </rPr>
      <t>相試験が実施されている。</t>
    </r>
    <rPh sb="31" eb="33">
      <t>カンジャ</t>
    </rPh>
    <rPh sb="34" eb="36">
      <t>タイショウ</t>
    </rPh>
    <rPh sb="39" eb="40">
      <t>ダイ</t>
    </rPh>
    <rPh sb="41" eb="42">
      <t>ソウ</t>
    </rPh>
    <rPh sb="42" eb="44">
      <t>シケン</t>
    </rPh>
    <rPh sb="45" eb="47">
      <t>ジッシ</t>
    </rPh>
    <rPh sb="53" eb="55">
      <t>リョウコウ</t>
    </rPh>
    <rPh sb="56" eb="58">
      <t>ケッカ</t>
    </rPh>
    <rPh sb="59" eb="60">
      <t>エ</t>
    </rPh>
    <rPh sb="67" eb="69">
      <t>ケッカ</t>
    </rPh>
    <rPh sb="70" eb="71">
      <t>ウ</t>
    </rPh>
    <rPh sb="73" eb="75">
      <t>ゲンザイ</t>
    </rPh>
    <rPh sb="75" eb="76">
      <t>ダイ</t>
    </rPh>
    <rPh sb="77" eb="80">
      <t>ソウシケン</t>
    </rPh>
    <rPh sb="81" eb="83">
      <t>ジッシ</t>
    </rPh>
    <phoneticPr fontId="17"/>
  </si>
  <si>
    <r>
      <rPr>
        <sz val="11"/>
        <color theme="1"/>
        <rFont val="ＭＳ Ｐ明朝"/>
        <family val="1"/>
        <charset val="128"/>
      </rPr>
      <t>プラセボ対象の第</t>
    </r>
    <r>
      <rPr>
        <sz val="11"/>
        <color theme="1"/>
        <rFont val="Times New Roman"/>
        <family val="1"/>
      </rPr>
      <t>2/3</t>
    </r>
    <r>
      <rPr>
        <sz val="11"/>
        <color theme="1"/>
        <rFont val="ＭＳ Ｐ明朝"/>
        <family val="1"/>
        <charset val="128"/>
      </rPr>
      <t>相試験を行ったところ、プラセボ群よりも優位性が認められた。</t>
    </r>
    <rPh sb="4" eb="6">
      <t>タイショウ</t>
    </rPh>
    <rPh sb="7" eb="8">
      <t>ダイ</t>
    </rPh>
    <rPh sb="11" eb="12">
      <t>ソウ</t>
    </rPh>
    <rPh sb="12" eb="14">
      <t>シケン</t>
    </rPh>
    <rPh sb="15" eb="16">
      <t>オコナ</t>
    </rPh>
    <rPh sb="26" eb="27">
      <t>グン</t>
    </rPh>
    <rPh sb="30" eb="33">
      <t>ユウイセイ</t>
    </rPh>
    <rPh sb="34" eb="35">
      <t>ミト</t>
    </rPh>
    <phoneticPr fontId="17"/>
  </si>
  <si>
    <r>
      <rPr>
        <sz val="11"/>
        <color theme="1"/>
        <rFont val="ＭＳ Ｐゴシック"/>
        <family val="2"/>
        <charset val="128"/>
      </rPr>
      <t>転移性結腸直腸がんの治療薬である。
副作用として、好中球減少症、疲労・無力症、および口内炎、粘膜の炎症が確認されている。</t>
    </r>
    <rPh sb="10" eb="13">
      <t>チリョウヤク</t>
    </rPh>
    <rPh sb="18" eb="21">
      <t>フクサヨウ</t>
    </rPh>
    <rPh sb="52" eb="54">
      <t>カクニン</t>
    </rPh>
    <phoneticPr fontId="17"/>
  </si>
  <si>
    <r>
      <rPr>
        <sz val="11"/>
        <color theme="1"/>
        <rFont val="ＭＳ Ｐ明朝"/>
        <family val="1"/>
        <charset val="128"/>
      </rPr>
      <t>黄斑変性症の治療薬である。
アメリカでは、</t>
    </r>
    <r>
      <rPr>
        <sz val="11"/>
        <color theme="1"/>
        <rFont val="Times New Roman"/>
        <family val="1"/>
      </rPr>
      <t>2007</t>
    </r>
    <r>
      <rPr>
        <sz val="11"/>
        <color theme="1"/>
        <rFont val="ＭＳ Ｐ明朝"/>
        <family val="1"/>
        <charset val="128"/>
      </rPr>
      <t>年</t>
    </r>
    <r>
      <rPr>
        <sz val="11"/>
        <color theme="1"/>
        <rFont val="Times New Roman"/>
        <family val="1"/>
      </rPr>
      <t>10</t>
    </r>
    <r>
      <rPr>
        <sz val="11"/>
        <color theme="1"/>
        <rFont val="ＭＳ Ｐ明朝"/>
        <family val="1"/>
        <charset val="128"/>
      </rPr>
      <t>月に可用性を制限する措置が取られた。</t>
    </r>
    <rPh sb="6" eb="9">
      <t>チリョウヤク</t>
    </rPh>
    <rPh sb="38" eb="40">
      <t>ソチ</t>
    </rPh>
    <rPh sb="41" eb="42">
      <t>ト</t>
    </rPh>
    <phoneticPr fontId="17"/>
  </si>
  <si>
    <r>
      <rPr>
        <sz val="11"/>
        <color theme="1"/>
        <rFont val="ＭＳ Ｐ明朝"/>
        <family val="1"/>
        <charset val="128"/>
      </rPr>
      <t>喘息患者を対象とした、</t>
    </r>
    <r>
      <rPr>
        <sz val="11"/>
        <color theme="1"/>
        <rFont val="Times New Roman"/>
        <family val="1"/>
      </rPr>
      <t>4</t>
    </r>
    <r>
      <rPr>
        <sz val="11"/>
        <color theme="1"/>
        <rFont val="ＭＳ Ｐ明朝"/>
        <family val="1"/>
        <charset val="128"/>
      </rPr>
      <t>つの独立したプラセボ対照第</t>
    </r>
    <r>
      <rPr>
        <sz val="11"/>
        <color theme="1"/>
        <rFont val="Times New Roman"/>
        <family val="1"/>
      </rPr>
      <t>3</t>
    </r>
    <r>
      <rPr>
        <sz val="11"/>
        <color theme="1"/>
        <rFont val="ＭＳ Ｐ明朝"/>
        <family val="1"/>
        <charset val="128"/>
      </rPr>
      <t>相臨床試験を実施したところ、喘息増悪率を大きく減少させ、肺機能や他の二次対策の大幅な改善が見られた。</t>
    </r>
    <rPh sb="32" eb="34">
      <t>ジッシ</t>
    </rPh>
    <rPh sb="46" eb="47">
      <t>オオ</t>
    </rPh>
    <rPh sb="54" eb="55">
      <t>ハイ</t>
    </rPh>
    <rPh sb="55" eb="57">
      <t>キノウ</t>
    </rPh>
    <rPh sb="71" eb="72">
      <t>ミ</t>
    </rPh>
    <phoneticPr fontId="17"/>
  </si>
  <si>
    <r>
      <rPr>
        <sz val="11"/>
        <color theme="1"/>
        <rFont val="ＭＳ Ｐ明朝"/>
        <family val="1"/>
        <charset val="128"/>
      </rPr>
      <t xml:space="preserve">炭疽菌吸入による感染症の治療薬である。
</t>
    </r>
    <r>
      <rPr>
        <i/>
        <sz val="11"/>
        <color theme="1"/>
        <rFont val="Times New Roman"/>
        <family val="1"/>
      </rPr>
      <t>B.anthracis</t>
    </r>
    <r>
      <rPr>
        <sz val="11"/>
        <color theme="1"/>
        <rFont val="Times New Roman"/>
        <family val="1"/>
      </rPr>
      <t xml:space="preserve"> toxin</t>
    </r>
    <r>
      <rPr>
        <sz val="11"/>
        <color theme="1"/>
        <rFont val="ＭＳ Ｐ明朝"/>
        <family val="1"/>
        <charset val="128"/>
      </rPr>
      <t>を標的としている。</t>
    </r>
    <rPh sb="0" eb="1">
      <t>タン</t>
    </rPh>
    <rPh sb="1" eb="2">
      <t>ソ</t>
    </rPh>
    <rPh sb="2" eb="3">
      <t>キン</t>
    </rPh>
    <rPh sb="3" eb="5">
      <t>キュウニュウ</t>
    </rPh>
    <rPh sb="8" eb="11">
      <t>カンセンショウ</t>
    </rPh>
    <rPh sb="12" eb="15">
      <t>チリョウヤク</t>
    </rPh>
    <rPh sb="38" eb="40">
      <t>ヒョウテキ</t>
    </rPh>
    <phoneticPr fontId="17"/>
  </si>
  <si>
    <t>ARCALYST
RILONACEPT REGENERON</t>
  </si>
  <si>
    <r>
      <rPr>
        <sz val="11"/>
        <color theme="1"/>
        <rFont val="ＭＳ Ｐ明朝"/>
        <family val="1"/>
        <charset val="128"/>
      </rPr>
      <t>家族性寒冷蕁麻疹（</t>
    </r>
    <r>
      <rPr>
        <sz val="11"/>
        <color theme="1"/>
        <rFont val="Times New Roman"/>
        <family val="1"/>
      </rPr>
      <t>FCAS</t>
    </r>
    <r>
      <rPr>
        <sz val="11"/>
        <color theme="1"/>
        <rFont val="ＭＳ Ｐ明朝"/>
        <family val="1"/>
        <charset val="128"/>
      </rPr>
      <t>）とマックルウェルズ症候群（</t>
    </r>
    <r>
      <rPr>
        <sz val="11"/>
        <color theme="1"/>
        <rFont val="Times New Roman"/>
        <family val="1"/>
      </rPr>
      <t>MWS</t>
    </r>
    <r>
      <rPr>
        <sz val="11"/>
        <color theme="1"/>
        <rFont val="ＭＳ Ｐ明朝"/>
        <family val="1"/>
        <charset val="128"/>
      </rPr>
      <t>）を含む、クリオピリン関連周期性発熱症候群（</t>
    </r>
    <r>
      <rPr>
        <sz val="11"/>
        <color theme="1"/>
        <rFont val="Times New Roman"/>
        <family val="1"/>
      </rPr>
      <t>CAPS</t>
    </r>
    <r>
      <rPr>
        <sz val="11"/>
        <color theme="1"/>
        <rFont val="ＭＳ Ｐ明朝"/>
        <family val="1"/>
        <charset val="128"/>
      </rPr>
      <t>）の治療薬である。
体内で過剰生産された</t>
    </r>
    <r>
      <rPr>
        <sz val="11"/>
        <color theme="1"/>
        <rFont val="Times New Roman"/>
        <family val="1"/>
      </rPr>
      <t>IL-1</t>
    </r>
    <r>
      <rPr>
        <sz val="11"/>
        <color theme="1"/>
        <rFont val="ＭＳ Ｐ明朝"/>
        <family val="1"/>
        <charset val="128"/>
      </rPr>
      <t>を標的としている。</t>
    </r>
    <rPh sb="58" eb="61">
      <t>チリョウヤク</t>
    </rPh>
    <rPh sb="66" eb="68">
      <t>タイナイ</t>
    </rPh>
    <rPh sb="69" eb="71">
      <t>カジョウ</t>
    </rPh>
    <rPh sb="71" eb="73">
      <t>セイサン</t>
    </rPh>
    <rPh sb="81" eb="83">
      <t>ヒョウテキ</t>
    </rPh>
    <phoneticPr fontId="17"/>
  </si>
  <si>
    <r>
      <rPr>
        <sz val="11"/>
        <color theme="1"/>
        <rFont val="ＭＳ Ｐ明朝"/>
        <family val="1"/>
        <charset val="128"/>
      </rPr>
      <t>第</t>
    </r>
    <r>
      <rPr>
        <sz val="11"/>
        <color theme="1"/>
        <rFont val="Times New Roman"/>
        <family val="1"/>
      </rPr>
      <t>3</t>
    </r>
    <r>
      <rPr>
        <sz val="11"/>
        <color theme="1"/>
        <rFont val="ＭＳ Ｐ明朝"/>
        <family val="1"/>
        <charset val="128"/>
      </rPr>
      <t>相試験の安全性評価で、化学療法併用群の死亡数が化学療法単独群に比べ増加したと判断され、開発が中止された。</t>
    </r>
    <rPh sb="0" eb="1">
      <t>ダイ</t>
    </rPh>
    <rPh sb="2" eb="3">
      <t>ソウ</t>
    </rPh>
    <rPh sb="3" eb="5">
      <t>シケン</t>
    </rPh>
    <rPh sb="40" eb="42">
      <t>ハンダン</t>
    </rPh>
    <rPh sb="45" eb="47">
      <t>カイハツ</t>
    </rPh>
    <rPh sb="48" eb="50">
      <t>チュウシ</t>
    </rPh>
    <phoneticPr fontId="17"/>
  </si>
  <si>
    <r>
      <t>B</t>
    </r>
    <r>
      <rPr>
        <sz val="11"/>
        <color theme="1"/>
        <rFont val="ＭＳ Ｐ明朝"/>
        <family val="1"/>
        <charset val="128"/>
      </rPr>
      <t>細胞性非ホジキンリンパ腫の治療薬である。
初回投与時に、発熱や悪寒、かゆみなどのアレルギー症状が出る事がある。
重篤な副作用として、骨髄抑制や心臓障害、間質性肺炎、腎不全、脳神経障害等が確認されている。
現在、関節炎、及び非ホジキンリンパ腫に対する適応を試験中である。</t>
    </r>
    <rPh sb="14" eb="17">
      <t>チリョウヤク</t>
    </rPh>
    <rPh sb="22" eb="24">
      <t>ショカイ</t>
    </rPh>
    <rPh sb="24" eb="26">
      <t>トウヨ</t>
    </rPh>
    <rPh sb="26" eb="27">
      <t>ジ</t>
    </rPh>
    <rPh sb="49" eb="50">
      <t>デ</t>
    </rPh>
    <rPh sb="51" eb="52">
      <t>コト</t>
    </rPh>
    <rPh sb="57" eb="59">
      <t>ジュウトク</t>
    </rPh>
    <rPh sb="60" eb="63">
      <t>フクサヨウ</t>
    </rPh>
    <rPh sb="92" eb="93">
      <t>トウ</t>
    </rPh>
    <rPh sb="94" eb="96">
      <t>カクニン</t>
    </rPh>
    <rPh sb="103" eb="105">
      <t>ゲンザイ</t>
    </rPh>
    <rPh sb="110" eb="111">
      <t>オヨ</t>
    </rPh>
    <rPh sb="122" eb="123">
      <t>タイ</t>
    </rPh>
    <rPh sb="125" eb="127">
      <t>テキオウ</t>
    </rPh>
    <rPh sb="128" eb="131">
      <t>シケンチュウ</t>
    </rPh>
    <phoneticPr fontId="17"/>
  </si>
  <si>
    <r>
      <t>TPOR</t>
    </r>
    <r>
      <rPr>
        <sz val="11"/>
        <color theme="1"/>
        <rFont val="ＭＳ Ｐ明朝"/>
        <family val="1"/>
        <charset val="128"/>
      </rPr>
      <t>（トロンボポエチン受容体）を標的とした、慢性特発性血小板減少性紫斑病の治療薬である。</t>
    </r>
    <rPh sb="18" eb="20">
      <t>ヒョウテキ</t>
    </rPh>
    <rPh sb="39" eb="42">
      <t>チリョウヤク</t>
    </rPh>
    <phoneticPr fontId="17"/>
  </si>
  <si>
    <r>
      <rPr>
        <sz val="11"/>
        <color theme="1"/>
        <rFont val="ＭＳ Ｐ明朝"/>
        <family val="1"/>
        <charset val="128"/>
      </rPr>
      <t>閉経後の骨粗鬆症患者を対象とした第</t>
    </r>
    <r>
      <rPr>
        <sz val="11"/>
        <color theme="1"/>
        <rFont val="Times New Roman"/>
        <family val="1"/>
      </rPr>
      <t>2</t>
    </r>
    <r>
      <rPr>
        <sz val="11"/>
        <color theme="1"/>
        <rFont val="ＭＳ Ｐ明朝"/>
        <family val="1"/>
        <charset val="128"/>
      </rPr>
      <t xml:space="preserve">相試験の結果、骨密度の大きな増加が見られた。
</t>
    </r>
    <r>
      <rPr>
        <sz val="11"/>
        <color theme="1"/>
        <rFont val="Times New Roman"/>
        <family val="1"/>
      </rPr>
      <t>2014</t>
    </r>
    <r>
      <rPr>
        <sz val="11"/>
        <color theme="1"/>
        <rFont val="ＭＳ Ｐ明朝"/>
        <family val="1"/>
        <charset val="128"/>
      </rPr>
      <t>年より、第</t>
    </r>
    <r>
      <rPr>
        <sz val="11"/>
        <color theme="1"/>
        <rFont val="Times New Roman"/>
        <family val="1"/>
      </rPr>
      <t>3</t>
    </r>
    <r>
      <rPr>
        <sz val="11"/>
        <color theme="1"/>
        <rFont val="ＭＳ Ｐ明朝"/>
        <family val="1"/>
        <charset val="128"/>
      </rPr>
      <t>相試験が開始された。</t>
    </r>
    <rPh sb="0" eb="2">
      <t>ヘイケイ</t>
    </rPh>
    <rPh sb="2" eb="3">
      <t>ゴ</t>
    </rPh>
    <rPh sb="4" eb="8">
      <t>コツソショウショウ</t>
    </rPh>
    <rPh sb="8" eb="10">
      <t>カンジャ</t>
    </rPh>
    <rPh sb="11" eb="13">
      <t>タイショウ</t>
    </rPh>
    <rPh sb="16" eb="17">
      <t>ダイ</t>
    </rPh>
    <rPh sb="18" eb="19">
      <t>ソウ</t>
    </rPh>
    <rPh sb="19" eb="21">
      <t>シケン</t>
    </rPh>
    <rPh sb="22" eb="24">
      <t>ケッカ</t>
    </rPh>
    <rPh sb="25" eb="28">
      <t>コツミツド</t>
    </rPh>
    <rPh sb="29" eb="30">
      <t>オオ</t>
    </rPh>
    <rPh sb="32" eb="34">
      <t>ゾウカ</t>
    </rPh>
    <rPh sb="35" eb="36">
      <t>ミ</t>
    </rPh>
    <rPh sb="45" eb="46">
      <t>ネン</t>
    </rPh>
    <rPh sb="49" eb="50">
      <t>ダイ</t>
    </rPh>
    <rPh sb="51" eb="52">
      <t>ソウ</t>
    </rPh>
    <rPh sb="52" eb="54">
      <t>シケン</t>
    </rPh>
    <rPh sb="55" eb="57">
      <t>カイシ</t>
    </rPh>
    <phoneticPr fontId="17"/>
  </si>
  <si>
    <r>
      <rPr>
        <sz val="11"/>
        <color theme="1"/>
        <rFont val="ＭＳ Ｐ明朝"/>
        <family val="1"/>
        <charset val="128"/>
      </rPr>
      <t>転移性肺がん及び小細胞肺がん患者を対象とした第</t>
    </r>
    <r>
      <rPr>
        <sz val="11"/>
        <color theme="1"/>
        <rFont val="Times New Roman"/>
        <family val="1"/>
      </rPr>
      <t>2</t>
    </r>
    <r>
      <rPr>
        <sz val="11"/>
        <color theme="1"/>
        <rFont val="ＭＳ Ｐ明朝"/>
        <family val="1"/>
        <charset val="128"/>
      </rPr>
      <t>相試験が、現在実施されている。</t>
    </r>
    <rPh sb="14" eb="16">
      <t>カンジャ</t>
    </rPh>
    <rPh sb="17" eb="19">
      <t>タイショウ</t>
    </rPh>
    <rPh sb="22" eb="23">
      <t>ダイ</t>
    </rPh>
    <rPh sb="24" eb="25">
      <t>ソウ</t>
    </rPh>
    <rPh sb="25" eb="27">
      <t>シケン</t>
    </rPh>
    <rPh sb="29" eb="31">
      <t>ゲンザイ</t>
    </rPh>
    <rPh sb="31" eb="33">
      <t>ジッシ</t>
    </rPh>
    <phoneticPr fontId="17"/>
  </si>
  <si>
    <t>satumomab</t>
  </si>
  <si>
    <r>
      <rPr>
        <sz val="11"/>
        <color theme="1"/>
        <rFont val="ＭＳ Ｐ明朝"/>
        <family val="1"/>
        <charset val="128"/>
      </rPr>
      <t>第</t>
    </r>
    <r>
      <rPr>
        <sz val="11"/>
        <color theme="1"/>
        <rFont val="Times New Roman"/>
        <family val="1"/>
      </rPr>
      <t>3</t>
    </r>
    <r>
      <rPr>
        <sz val="11"/>
        <color theme="1"/>
        <rFont val="ＭＳ Ｐ明朝"/>
        <family val="1"/>
        <charset val="128"/>
      </rPr>
      <t xml:space="preserve">相試験の結果、主要評価項目である関節リウマチおよび身体機能の改善を満たした。
</t>
    </r>
    <r>
      <rPr>
        <sz val="11"/>
        <color theme="1"/>
        <rFont val="Times New Roman"/>
        <family val="1"/>
      </rPr>
      <t>FDA</t>
    </r>
    <r>
      <rPr>
        <sz val="11"/>
        <color theme="1"/>
        <rFont val="ＭＳ Ｐ明朝"/>
        <family val="1"/>
        <charset val="128"/>
      </rPr>
      <t>に対し、生物製剤ライセンス申請（</t>
    </r>
    <r>
      <rPr>
        <sz val="11"/>
        <color theme="1"/>
        <rFont val="Times New Roman"/>
        <family val="1"/>
      </rPr>
      <t>BLA</t>
    </r>
    <r>
      <rPr>
        <sz val="11"/>
        <color theme="1"/>
        <rFont val="ＭＳ Ｐ明朝"/>
        <family val="1"/>
        <charset val="128"/>
      </rPr>
      <t>）が行われた。</t>
    </r>
    <rPh sb="0" eb="1">
      <t>ダイ</t>
    </rPh>
    <rPh sb="2" eb="5">
      <t>ソウシケン</t>
    </rPh>
    <rPh sb="6" eb="8">
      <t>ケッカ</t>
    </rPh>
    <rPh sb="45" eb="46">
      <t>タイ</t>
    </rPh>
    <rPh sb="65" eb="66">
      <t>オコナ</t>
    </rPh>
    <phoneticPr fontId="17"/>
  </si>
  <si>
    <r>
      <t>IL-17A</t>
    </r>
    <r>
      <rPr>
        <sz val="11"/>
        <color theme="1"/>
        <rFont val="ＭＳ Ｐ明朝"/>
        <family val="1"/>
        <charset val="128"/>
      </rPr>
      <t>を標的とした中等度または重症の局面型乾癬の治療薬である。</t>
    </r>
    <rPh sb="14" eb="15">
      <t>ド</t>
    </rPh>
    <rPh sb="27" eb="30">
      <t>チリョウヤク</t>
    </rPh>
    <phoneticPr fontId="17"/>
  </si>
  <si>
    <r>
      <rPr>
        <sz val="11"/>
        <color theme="1"/>
        <rFont val="ＭＳ Ｐ明朝"/>
        <family val="1"/>
        <charset val="128"/>
      </rPr>
      <t>第</t>
    </r>
    <r>
      <rPr>
        <sz val="11"/>
        <color theme="1"/>
        <rFont val="Times New Roman"/>
        <family val="1"/>
      </rPr>
      <t>2</t>
    </r>
    <r>
      <rPr>
        <sz val="11"/>
        <color theme="1"/>
        <rFont val="ＭＳ Ｐ明朝"/>
        <family val="1"/>
        <charset val="128"/>
      </rPr>
      <t>相試験では、ホルモン受容体陽性、</t>
    </r>
    <r>
      <rPr>
        <sz val="11"/>
        <color theme="1"/>
        <rFont val="Times New Roman"/>
        <family val="1"/>
      </rPr>
      <t>HER2</t>
    </r>
    <r>
      <rPr>
        <sz val="11"/>
        <color theme="1"/>
        <rFont val="ＭＳ Ｐ明朝"/>
        <family val="1"/>
        <charset val="128"/>
      </rPr>
      <t>陰性乳がん患者を対象とし、化学療法</t>
    </r>
    <r>
      <rPr>
        <sz val="11"/>
        <color theme="1"/>
        <rFont val="Times New Roman"/>
        <family val="1"/>
      </rPr>
      <t>+trastuzumab</t>
    </r>
    <r>
      <rPr>
        <sz val="11"/>
        <color theme="1"/>
        <rFont val="ＭＳ Ｐ明朝"/>
        <family val="1"/>
        <charset val="128"/>
      </rPr>
      <t>と</t>
    </r>
    <r>
      <rPr>
        <sz val="11"/>
        <color theme="1"/>
        <rFont val="Times New Roman"/>
        <family val="1"/>
      </rPr>
      <t>MM-302+trastuzumab</t>
    </r>
    <r>
      <rPr>
        <sz val="11"/>
        <color theme="1"/>
        <rFont val="ＭＳ Ｐ明朝"/>
        <family val="1"/>
        <charset val="128"/>
      </rPr>
      <t>を比較する無作為化、オープンラベル試験を行った。
試験結果は良好であった。</t>
    </r>
    <rPh sb="27" eb="29">
      <t>カンジャ</t>
    </rPh>
    <rPh sb="30" eb="32">
      <t>タイショウ</t>
    </rPh>
    <rPh sb="87" eb="89">
      <t>シケン</t>
    </rPh>
    <rPh sb="90" eb="91">
      <t>オコナ</t>
    </rPh>
    <rPh sb="95" eb="97">
      <t>シケン</t>
    </rPh>
    <rPh sb="97" eb="99">
      <t>ケッカ</t>
    </rPh>
    <rPh sb="100" eb="102">
      <t>リョウコウ</t>
    </rPh>
    <phoneticPr fontId="17"/>
  </si>
  <si>
    <r>
      <rPr>
        <sz val="11"/>
        <color theme="1"/>
        <rFont val="ＭＳ Ｐ明朝"/>
        <family val="1"/>
        <charset val="128"/>
      </rPr>
      <t>全身性エリテマトーデス、皮膚筋炎、多発​​性筋炎の治療薬として開発が進められていた。
第</t>
    </r>
    <r>
      <rPr>
        <sz val="11"/>
        <color theme="1"/>
        <rFont val="Times New Roman"/>
        <family val="1"/>
      </rPr>
      <t>2b</t>
    </r>
    <r>
      <rPr>
        <sz val="11"/>
        <color theme="1"/>
        <rFont val="ＭＳ Ｐ明朝"/>
        <family val="1"/>
        <charset val="128"/>
      </rPr>
      <t>相試験では、主要評価項目を達成していた。</t>
    </r>
    <rPh sb="25" eb="28">
      <t>チリョウヤク</t>
    </rPh>
    <rPh sb="31" eb="33">
      <t>カイハツ</t>
    </rPh>
    <rPh sb="34" eb="35">
      <t>スス</t>
    </rPh>
    <rPh sb="43" eb="44">
      <t>ダイ</t>
    </rPh>
    <rPh sb="46" eb="47">
      <t>ソウ</t>
    </rPh>
    <rPh sb="47" eb="49">
      <t>シケン</t>
    </rPh>
    <phoneticPr fontId="17"/>
  </si>
  <si>
    <r>
      <t>IL-6</t>
    </r>
    <r>
      <rPr>
        <sz val="11"/>
        <color theme="1"/>
        <rFont val="ＭＳ Ｐ明朝"/>
        <family val="1"/>
        <charset val="128"/>
      </rPr>
      <t>を標的とした、初期の多発性骨髄腫（</t>
    </r>
    <r>
      <rPr>
        <sz val="11"/>
        <color theme="1"/>
        <rFont val="Times New Roman"/>
        <family val="1"/>
      </rPr>
      <t>MM</t>
    </r>
    <r>
      <rPr>
        <sz val="11"/>
        <color theme="1"/>
        <rFont val="ＭＳ Ｐ明朝"/>
        <family val="1"/>
        <charset val="128"/>
      </rPr>
      <t>）の治療薬である。</t>
    </r>
    <rPh sb="5" eb="7">
      <t>ヒョウテキ</t>
    </rPh>
    <rPh sb="25" eb="28">
      <t>チリョウヤク</t>
    </rPh>
    <phoneticPr fontId="17"/>
  </si>
  <si>
    <r>
      <rPr>
        <sz val="11"/>
        <color theme="1"/>
        <rFont val="ＭＳ Ｐ明朝"/>
        <family val="1"/>
        <charset val="128"/>
      </rPr>
      <t>未治療進行膵臓がん患者を対象とした</t>
    </r>
    <r>
      <rPr>
        <sz val="11"/>
        <color theme="1"/>
        <rFont val="Times New Roman"/>
        <family val="1"/>
      </rPr>
      <t>gemcitabine</t>
    </r>
    <r>
      <rPr>
        <sz val="11"/>
        <color theme="1"/>
        <rFont val="ＭＳ Ｐ明朝"/>
        <family val="1"/>
        <charset val="128"/>
      </rPr>
      <t>との併用第</t>
    </r>
    <r>
      <rPr>
        <sz val="11"/>
        <color theme="1"/>
        <rFont val="Times New Roman"/>
        <family val="1"/>
      </rPr>
      <t>2</t>
    </r>
    <r>
      <rPr>
        <sz val="11"/>
        <color theme="1"/>
        <rFont val="ＭＳ Ｐ明朝"/>
        <family val="1"/>
        <charset val="128"/>
      </rPr>
      <t>相試験が行われた。</t>
    </r>
    <rPh sb="12" eb="14">
      <t>タイショウ</t>
    </rPh>
    <rPh sb="32" eb="33">
      <t>ダイ</t>
    </rPh>
    <rPh sb="34" eb="35">
      <t>ソウ</t>
    </rPh>
    <rPh sb="35" eb="37">
      <t>シケン</t>
    </rPh>
    <rPh sb="38" eb="39">
      <t>オコナ</t>
    </rPh>
    <phoneticPr fontId="17"/>
  </si>
  <si>
    <r>
      <rPr>
        <sz val="11"/>
        <color theme="1"/>
        <rFont val="ＭＳ Ｐ明朝"/>
        <family val="1"/>
        <charset val="128"/>
      </rPr>
      <t>関節リウマチ患者を対象とした第</t>
    </r>
    <r>
      <rPr>
        <sz val="11"/>
        <color theme="1"/>
        <rFont val="Times New Roman"/>
        <family val="1"/>
      </rPr>
      <t>3</t>
    </r>
    <r>
      <rPr>
        <sz val="11"/>
        <color theme="1"/>
        <rFont val="ＭＳ Ｐ明朝"/>
        <family val="1"/>
        <charset val="128"/>
      </rPr>
      <t>相試験の結果、主要評価項目に示された徴候や症状が改善された。</t>
    </r>
    <rPh sb="6" eb="8">
      <t>カンジャ</t>
    </rPh>
    <rPh sb="9" eb="11">
      <t>タイショウ</t>
    </rPh>
    <rPh sb="14" eb="15">
      <t>ダイ</t>
    </rPh>
    <rPh sb="16" eb="19">
      <t>ソウシケン</t>
    </rPh>
    <rPh sb="20" eb="22">
      <t>ケッカ</t>
    </rPh>
    <rPh sb="30" eb="31">
      <t>シメ</t>
    </rPh>
    <phoneticPr fontId="17"/>
  </si>
  <si>
    <r>
      <rPr>
        <sz val="11"/>
        <color theme="1"/>
        <rFont val="ＭＳ Ｐ明朝"/>
        <family val="1"/>
        <charset val="128"/>
      </rPr>
      <t>アルツハイマー病患者に対する第</t>
    </r>
    <r>
      <rPr>
        <sz val="11"/>
        <color theme="1"/>
        <rFont val="Times New Roman"/>
        <family val="1"/>
      </rPr>
      <t>3</t>
    </r>
    <r>
      <rPr>
        <sz val="11"/>
        <color theme="1"/>
        <rFont val="ＭＳ Ｐ明朝"/>
        <family val="1"/>
        <charset val="128"/>
      </rPr>
      <t>相試験が実施されている。
試験結果は</t>
    </r>
    <r>
      <rPr>
        <sz val="11"/>
        <color theme="1"/>
        <rFont val="Times New Roman"/>
        <family val="1"/>
      </rPr>
      <t>2016</t>
    </r>
    <r>
      <rPr>
        <sz val="11"/>
        <color theme="1"/>
        <rFont val="ＭＳ Ｐ明朝"/>
        <family val="1"/>
        <charset val="128"/>
      </rPr>
      <t>年</t>
    </r>
    <r>
      <rPr>
        <sz val="11"/>
        <color theme="1"/>
        <rFont val="Times New Roman"/>
        <family val="1"/>
      </rPr>
      <t>12</t>
    </r>
    <r>
      <rPr>
        <sz val="11"/>
        <color theme="1"/>
        <rFont val="ＭＳ Ｐ明朝"/>
        <family val="1"/>
        <charset val="128"/>
      </rPr>
      <t>月頃に発表予定である。</t>
    </r>
    <rPh sb="8" eb="10">
      <t>カンジャ</t>
    </rPh>
    <rPh sb="11" eb="12">
      <t>タイ</t>
    </rPh>
    <rPh sb="14" eb="15">
      <t>ダイ</t>
    </rPh>
    <rPh sb="16" eb="17">
      <t>ソウ</t>
    </rPh>
    <rPh sb="17" eb="19">
      <t>シケン</t>
    </rPh>
    <rPh sb="20" eb="22">
      <t>ジッシ</t>
    </rPh>
    <rPh sb="38" eb="39">
      <t>ネン</t>
    </rPh>
    <rPh sb="41" eb="42">
      <t>ガツ</t>
    </rPh>
    <rPh sb="42" eb="43">
      <t>ゴロ</t>
    </rPh>
    <rPh sb="44" eb="46">
      <t>ハッピョウ</t>
    </rPh>
    <rPh sb="46" eb="48">
      <t>ヨテイ</t>
    </rPh>
    <phoneticPr fontId="17"/>
  </si>
  <si>
    <r>
      <rPr>
        <sz val="11"/>
        <color theme="1"/>
        <rFont val="ＭＳ Ｐ明朝"/>
        <family val="1"/>
        <charset val="128"/>
      </rPr>
      <t>糖尿病性足部潰瘍、及び骨髄炎が疑われる患者に対し、イメージング手段として用いられる。
使用前に</t>
    </r>
    <r>
      <rPr>
        <sz val="11"/>
        <color theme="1"/>
        <rFont val="Times New Roman"/>
        <family val="1"/>
      </rPr>
      <t>99mTc</t>
    </r>
    <r>
      <rPr>
        <sz val="11"/>
        <color theme="1"/>
        <rFont val="ＭＳ Ｐ明朝"/>
        <family val="1"/>
        <charset val="128"/>
      </rPr>
      <t>で標識する。</t>
    </r>
    <rPh sb="9" eb="10">
      <t>オヨ</t>
    </rPh>
    <rPh sb="15" eb="16">
      <t>ウタガ</t>
    </rPh>
    <rPh sb="19" eb="21">
      <t>カンジャ</t>
    </rPh>
    <rPh sb="22" eb="23">
      <t>タイ</t>
    </rPh>
    <rPh sb="31" eb="33">
      <t>シュダン</t>
    </rPh>
    <rPh sb="36" eb="37">
      <t>モチ</t>
    </rPh>
    <phoneticPr fontId="17"/>
  </si>
  <si>
    <r>
      <rPr>
        <sz val="11"/>
        <color theme="1"/>
        <rFont val="ＭＳ Ｐ明朝"/>
        <family val="1"/>
        <charset val="128"/>
      </rPr>
      <t>第</t>
    </r>
    <r>
      <rPr>
        <sz val="11"/>
        <color theme="1"/>
        <rFont val="Times New Roman"/>
        <family val="1"/>
      </rPr>
      <t>3</t>
    </r>
    <r>
      <rPr>
        <sz val="11"/>
        <color theme="1"/>
        <rFont val="ＭＳ Ｐ明朝"/>
        <family val="1"/>
        <charset val="128"/>
      </rPr>
      <t>相試験において、有用性が認められなかったため、試験が中止された。
安全性の懸念は無かった。</t>
    </r>
    <rPh sb="0" eb="1">
      <t>ダイ</t>
    </rPh>
    <rPh sb="2" eb="3">
      <t>ソウ</t>
    </rPh>
    <rPh sb="3" eb="5">
      <t>シケン</t>
    </rPh>
    <rPh sb="10" eb="13">
      <t>ユウヨウセイ</t>
    </rPh>
    <rPh sb="14" eb="15">
      <t>ミト</t>
    </rPh>
    <rPh sb="25" eb="27">
      <t>シケン</t>
    </rPh>
    <rPh sb="28" eb="30">
      <t>チュウシ</t>
    </rPh>
    <rPh sb="35" eb="38">
      <t>アンゼンセイ</t>
    </rPh>
    <rPh sb="39" eb="41">
      <t>ケネン</t>
    </rPh>
    <rPh sb="42" eb="43">
      <t>ナ</t>
    </rPh>
    <phoneticPr fontId="17"/>
  </si>
  <si>
    <r>
      <rPr>
        <sz val="11"/>
        <color theme="1"/>
        <rFont val="ＭＳ Ｐ明朝"/>
        <family val="1"/>
        <charset val="128"/>
      </rPr>
      <t>膝の中等度から重度の変形性関節症患者に対する第</t>
    </r>
    <r>
      <rPr>
        <sz val="11"/>
        <color theme="1"/>
        <rFont val="Times New Roman"/>
        <family val="1"/>
      </rPr>
      <t>2</t>
    </r>
    <r>
      <rPr>
        <sz val="11"/>
        <color theme="1"/>
        <rFont val="ＭＳ Ｐ明朝"/>
        <family val="1"/>
        <charset val="128"/>
      </rPr>
      <t>相試験の結果、症状の実質的な改善が見られた。
現在、第</t>
    </r>
    <r>
      <rPr>
        <sz val="11"/>
        <color theme="1"/>
        <rFont val="Times New Roman"/>
        <family val="1"/>
      </rPr>
      <t>3</t>
    </r>
    <r>
      <rPr>
        <sz val="11"/>
        <color theme="1"/>
        <rFont val="ＭＳ Ｐ明朝"/>
        <family val="1"/>
        <charset val="128"/>
      </rPr>
      <t>相試験が実施されている。</t>
    </r>
    <rPh sb="16" eb="18">
      <t>カンジャ</t>
    </rPh>
    <rPh sb="19" eb="20">
      <t>タイ</t>
    </rPh>
    <rPh sb="22" eb="23">
      <t>ダイ</t>
    </rPh>
    <rPh sb="24" eb="25">
      <t>ソウ</t>
    </rPh>
    <rPh sb="25" eb="27">
      <t>シケン</t>
    </rPh>
    <rPh sb="28" eb="30">
      <t>ケッカ</t>
    </rPh>
    <rPh sb="31" eb="33">
      <t>ショウジョウ</t>
    </rPh>
    <rPh sb="41" eb="42">
      <t>ミ</t>
    </rPh>
    <rPh sb="47" eb="49">
      <t>ゲンザイ</t>
    </rPh>
    <rPh sb="50" eb="51">
      <t>ダイ</t>
    </rPh>
    <rPh sb="52" eb="55">
      <t>ソウシケン</t>
    </rPh>
    <rPh sb="56" eb="58">
      <t>ジッシ</t>
    </rPh>
    <phoneticPr fontId="17"/>
  </si>
  <si>
    <r>
      <rPr>
        <sz val="11"/>
        <color theme="1"/>
        <rFont val="ＭＳ Ｐ明朝"/>
        <family val="1"/>
        <charset val="128"/>
      </rPr>
      <t>最小毒物致死量（</t>
    </r>
    <r>
      <rPr>
        <sz val="11"/>
        <color theme="1"/>
        <rFont val="Times New Roman"/>
        <family val="1"/>
      </rPr>
      <t>MTD</t>
    </r>
    <r>
      <rPr>
        <sz val="11"/>
        <color theme="1"/>
        <rFont val="ＭＳ Ｐ明朝"/>
        <family val="1"/>
        <charset val="128"/>
      </rPr>
      <t>）、薬物動態（</t>
    </r>
    <r>
      <rPr>
        <sz val="11"/>
        <color theme="1"/>
        <rFont val="Times New Roman"/>
        <family val="1"/>
      </rPr>
      <t>PK</t>
    </r>
    <r>
      <rPr>
        <sz val="11"/>
        <color theme="1"/>
        <rFont val="ＭＳ Ｐ明朝"/>
        <family val="1"/>
        <charset val="128"/>
      </rPr>
      <t>）、薬力学（</t>
    </r>
    <r>
      <rPr>
        <sz val="11"/>
        <color theme="1"/>
        <rFont val="Times New Roman"/>
        <family val="1"/>
      </rPr>
      <t>PD</t>
    </r>
    <r>
      <rPr>
        <sz val="11"/>
        <color theme="1"/>
        <rFont val="ＭＳ Ｐ明朝"/>
        <family val="1"/>
        <charset val="128"/>
      </rPr>
      <t>）を検証する第</t>
    </r>
    <r>
      <rPr>
        <sz val="11"/>
        <color theme="1"/>
        <rFont val="Times New Roman"/>
        <family val="1"/>
      </rPr>
      <t>1b</t>
    </r>
    <r>
      <rPr>
        <sz val="11"/>
        <color theme="1"/>
        <rFont val="ＭＳ Ｐ明朝"/>
        <family val="1"/>
        <charset val="128"/>
      </rPr>
      <t>相試験の結果、有望な抗腫瘍活性が観察された。
現在、無作為化プラセボ対照第</t>
    </r>
    <r>
      <rPr>
        <sz val="11"/>
        <color theme="1"/>
        <rFont val="Times New Roman"/>
        <family val="1"/>
      </rPr>
      <t>2</t>
    </r>
    <r>
      <rPr>
        <sz val="11"/>
        <color theme="1"/>
        <rFont val="ＭＳ Ｐ明朝"/>
        <family val="1"/>
        <charset val="128"/>
      </rPr>
      <t>相試験が実施されている。</t>
    </r>
    <rPh sb="0" eb="2">
      <t>サイショウ</t>
    </rPh>
    <rPh sb="2" eb="4">
      <t>ドクブツ</t>
    </rPh>
    <rPh sb="4" eb="7">
      <t>チシリョウ</t>
    </rPh>
    <rPh sb="30" eb="32">
      <t>ケンショウ</t>
    </rPh>
    <rPh sb="34" eb="35">
      <t>ダイ</t>
    </rPh>
    <rPh sb="37" eb="38">
      <t>ソウ</t>
    </rPh>
    <rPh sb="38" eb="40">
      <t>シケン</t>
    </rPh>
    <rPh sb="41" eb="43">
      <t>ケッカ</t>
    </rPh>
    <rPh sb="60" eb="62">
      <t>ゲンザイ</t>
    </rPh>
    <rPh sb="76" eb="78">
      <t>シケン</t>
    </rPh>
    <rPh sb="79" eb="81">
      <t>ジッシ</t>
    </rPh>
    <phoneticPr fontId="17"/>
  </si>
  <si>
    <r>
      <rPr>
        <sz val="11"/>
        <color theme="1"/>
        <rFont val="ＭＳ Ｐ明朝"/>
        <family val="1"/>
        <charset val="128"/>
      </rPr>
      <t>中等度から重度の慢性プラーク乾癬患者に対する無作為化及び二重盲検第</t>
    </r>
    <r>
      <rPr>
        <sz val="11"/>
        <color theme="1"/>
        <rFont val="Times New Roman"/>
        <family val="1"/>
      </rPr>
      <t>2b</t>
    </r>
    <r>
      <rPr>
        <sz val="11"/>
        <color theme="1"/>
        <rFont val="ＭＳ Ｐ明朝"/>
        <family val="1"/>
        <charset val="128"/>
      </rPr>
      <t>相試験の結果、プラセボ群よりも優れた治療効果を示した。
現在、第</t>
    </r>
    <r>
      <rPr>
        <sz val="11"/>
        <color theme="1"/>
        <rFont val="Times New Roman"/>
        <family val="1"/>
      </rPr>
      <t>3</t>
    </r>
    <r>
      <rPr>
        <sz val="11"/>
        <color theme="1"/>
        <rFont val="ＭＳ Ｐ明朝"/>
        <family val="1"/>
        <charset val="128"/>
      </rPr>
      <t>相試験が実施されている。</t>
    </r>
    <rPh sb="19" eb="20">
      <t>タイ</t>
    </rPh>
    <rPh sb="26" eb="27">
      <t>オヨ</t>
    </rPh>
    <rPh sb="39" eb="41">
      <t>ケッカ</t>
    </rPh>
    <rPh sb="46" eb="47">
      <t>グン</t>
    </rPh>
    <rPh sb="58" eb="59">
      <t>シメ</t>
    </rPh>
    <rPh sb="63" eb="65">
      <t>ゲンザイ</t>
    </rPh>
    <rPh sb="66" eb="67">
      <t>ダイ</t>
    </rPh>
    <rPh sb="68" eb="69">
      <t>ソウ</t>
    </rPh>
    <rPh sb="69" eb="71">
      <t>シケン</t>
    </rPh>
    <rPh sb="72" eb="74">
      <t>ジッシ</t>
    </rPh>
    <phoneticPr fontId="17"/>
  </si>
  <si>
    <r>
      <rPr>
        <sz val="11"/>
        <color theme="1"/>
        <rFont val="ＭＳ Ｐ明朝"/>
        <family val="1"/>
        <charset val="128"/>
      </rPr>
      <t>体内で過剰発現する</t>
    </r>
    <r>
      <rPr>
        <sz val="11"/>
        <color theme="1"/>
        <rFont val="Times New Roman"/>
        <family val="1"/>
      </rPr>
      <t>IL-6</t>
    </r>
    <r>
      <rPr>
        <sz val="11"/>
        <color theme="1"/>
        <rFont val="ＭＳ Ｐ明朝"/>
        <family val="1"/>
        <charset val="128"/>
      </rPr>
      <t>を標的とした、関節リウマチ治療薬である。
根治させる事は出来ないため、長期間の投与が必要となる。</t>
    </r>
    <rPh sb="0" eb="2">
      <t>タイナイ</t>
    </rPh>
    <rPh sb="3" eb="5">
      <t>カジョウ</t>
    </rPh>
    <rPh sb="5" eb="7">
      <t>ハツゲン</t>
    </rPh>
    <rPh sb="14" eb="16">
      <t>ヒョウテキ</t>
    </rPh>
    <rPh sb="26" eb="29">
      <t>チリョウヤク</t>
    </rPh>
    <rPh sb="34" eb="36">
      <t>コンチ</t>
    </rPh>
    <rPh sb="39" eb="40">
      <t>コト</t>
    </rPh>
    <rPh sb="41" eb="43">
      <t>デキ</t>
    </rPh>
    <rPh sb="48" eb="51">
      <t>チョウキカン</t>
    </rPh>
    <rPh sb="52" eb="54">
      <t>トウヨ</t>
    </rPh>
    <rPh sb="55" eb="57">
      <t>ヒツヨウ</t>
    </rPh>
    <phoneticPr fontId="17"/>
  </si>
  <si>
    <r>
      <t>CD20</t>
    </r>
    <r>
      <rPr>
        <sz val="11"/>
        <color theme="1"/>
        <rFont val="ＭＳ Ｐ明朝"/>
        <family val="1"/>
        <charset val="128"/>
      </rPr>
      <t xml:space="preserve">を標的とした、難治性の濾胞性非ホジキンリンパ腫治療薬である。
</t>
    </r>
    <r>
      <rPr>
        <sz val="11"/>
        <color theme="1"/>
        <rFont val="Times New Roman"/>
        <family val="1"/>
      </rPr>
      <t>2014</t>
    </r>
    <r>
      <rPr>
        <sz val="11"/>
        <color theme="1"/>
        <rFont val="ＭＳ Ｐ明朝"/>
        <family val="1"/>
        <charset val="128"/>
      </rPr>
      <t>年</t>
    </r>
    <r>
      <rPr>
        <sz val="11"/>
        <color theme="1"/>
        <rFont val="Times New Roman"/>
        <family val="1"/>
      </rPr>
      <t>2</t>
    </r>
    <r>
      <rPr>
        <sz val="11"/>
        <color theme="1"/>
        <rFont val="ＭＳ Ｐ明朝"/>
        <family val="1"/>
        <charset val="128"/>
      </rPr>
      <t>月の時点で、メーカーが製造を中止している。</t>
    </r>
    <rPh sb="5" eb="7">
      <t>ヒョウテキ</t>
    </rPh>
    <rPh sb="27" eb="30">
      <t>チリョウヤク</t>
    </rPh>
    <rPh sb="52" eb="54">
      <t>セイゾウ</t>
    </rPh>
    <phoneticPr fontId="17"/>
  </si>
  <si>
    <r>
      <rPr>
        <sz val="11"/>
        <color theme="1"/>
        <rFont val="ＭＳ Ｐ明朝"/>
        <family val="1"/>
        <charset val="128"/>
      </rPr>
      <t>第</t>
    </r>
    <r>
      <rPr>
        <sz val="11"/>
        <color theme="1"/>
        <rFont val="Times New Roman"/>
        <family val="1"/>
      </rPr>
      <t>2b</t>
    </r>
    <r>
      <rPr>
        <sz val="11"/>
        <color theme="1"/>
        <rFont val="ＭＳ Ｐ明朝"/>
        <family val="1"/>
        <charset val="128"/>
      </rPr>
      <t>相試験の結果を受け、重症・コントロール不良の成人および小児喘息患者を対象とした第</t>
    </r>
    <r>
      <rPr>
        <sz val="11"/>
        <color theme="1"/>
        <rFont val="Times New Roman"/>
        <family val="1"/>
      </rPr>
      <t>3</t>
    </r>
    <r>
      <rPr>
        <sz val="11"/>
        <color theme="1"/>
        <rFont val="ＭＳ Ｐ明朝"/>
        <family val="1"/>
        <charset val="128"/>
      </rPr>
      <t>相試験が現在行われている。
安全性と有効性の評価を試みている。</t>
    </r>
    <rPh sb="0" eb="1">
      <t>ダイ</t>
    </rPh>
    <rPh sb="3" eb="4">
      <t>ソウ</t>
    </rPh>
    <rPh sb="4" eb="6">
      <t>シケン</t>
    </rPh>
    <rPh sb="7" eb="9">
      <t>ケッカ</t>
    </rPh>
    <rPh sb="10" eb="11">
      <t>ウ</t>
    </rPh>
    <rPh sb="13" eb="15">
      <t>ジュウショウ</t>
    </rPh>
    <rPh sb="22" eb="24">
      <t>フリョウ</t>
    </rPh>
    <rPh sb="25" eb="27">
      <t>セイジン</t>
    </rPh>
    <rPh sb="30" eb="32">
      <t>ショウニ</t>
    </rPh>
    <rPh sb="32" eb="34">
      <t>ゼンソク</t>
    </rPh>
    <rPh sb="34" eb="36">
      <t>カンジャ</t>
    </rPh>
    <rPh sb="37" eb="39">
      <t>タイショウ</t>
    </rPh>
    <rPh sb="42" eb="43">
      <t>ダイ</t>
    </rPh>
    <rPh sb="44" eb="45">
      <t>ソウ</t>
    </rPh>
    <rPh sb="45" eb="47">
      <t>シケン</t>
    </rPh>
    <rPh sb="48" eb="50">
      <t>ゲンザイ</t>
    </rPh>
    <rPh sb="50" eb="51">
      <t>オコナ</t>
    </rPh>
    <rPh sb="69" eb="70">
      <t>ココロ</t>
    </rPh>
    <phoneticPr fontId="17"/>
  </si>
  <si>
    <r>
      <t>HER2</t>
    </r>
    <r>
      <rPr>
        <sz val="11"/>
        <color theme="1"/>
        <rFont val="ＭＳ Ｐ明朝"/>
        <family val="1"/>
        <charset val="128"/>
      </rPr>
      <t>陽性転移・再発乳がんの治療薬である。
乳がん治療薬</t>
    </r>
    <r>
      <rPr>
        <sz val="11"/>
        <color theme="1"/>
        <rFont val="Times New Roman"/>
        <family val="1"/>
      </rPr>
      <t>trastuzumab</t>
    </r>
    <r>
      <rPr>
        <sz val="11"/>
        <color theme="1"/>
        <rFont val="ＭＳ Ｐ明朝"/>
        <family val="1"/>
        <charset val="128"/>
      </rPr>
      <t>と細胞傷害性を有するチューブリン重合阻害剤</t>
    </r>
    <r>
      <rPr>
        <sz val="11"/>
        <color theme="1"/>
        <rFont val="Times New Roman"/>
        <family val="1"/>
      </rPr>
      <t>DM1</t>
    </r>
    <r>
      <rPr>
        <sz val="11"/>
        <color theme="1"/>
        <rFont val="ＭＳ Ｐ明朝"/>
        <family val="1"/>
        <charset val="128"/>
      </rPr>
      <t>が結合した抗体薬物複合体である。
標的に結合後、</t>
    </r>
    <r>
      <rPr>
        <sz val="11"/>
        <color theme="1"/>
        <rFont val="Times New Roman"/>
        <family val="1"/>
      </rPr>
      <t>DM1</t>
    </r>
    <r>
      <rPr>
        <sz val="11"/>
        <color theme="1"/>
        <rFont val="ＭＳ Ｐ明朝"/>
        <family val="1"/>
        <charset val="128"/>
      </rPr>
      <t>をがん細胞の内部に送達して破壊する。</t>
    </r>
    <rPh sb="15" eb="18">
      <t>チリョウヤク</t>
    </rPh>
    <phoneticPr fontId="17"/>
  </si>
  <si>
    <r>
      <t>HER2</t>
    </r>
    <r>
      <rPr>
        <sz val="11"/>
        <color theme="1"/>
        <rFont val="ＭＳ Ｐ明朝"/>
        <family val="1"/>
        <charset val="128"/>
      </rPr>
      <t>陽性転移性乳がんの治療薬である。
副作用として、頭痛、無力症、吐き気や嘔吐が報告されている。</t>
    </r>
    <rPh sb="13" eb="16">
      <t>チリョウヤク</t>
    </rPh>
    <rPh sb="21" eb="24">
      <t>フクサヨウ</t>
    </rPh>
    <rPh sb="42" eb="44">
      <t>ホウコク</t>
    </rPh>
    <phoneticPr fontId="17"/>
  </si>
  <si>
    <r>
      <rPr>
        <sz val="11"/>
        <color theme="1"/>
        <rFont val="ＭＳ Ｐ明朝"/>
        <family val="1"/>
        <charset val="128"/>
      </rPr>
      <t>進行性黒色腫患者を対象とした第</t>
    </r>
    <r>
      <rPr>
        <sz val="11"/>
        <color theme="1"/>
        <rFont val="Times New Roman"/>
        <family val="1"/>
      </rPr>
      <t>1/2</t>
    </r>
    <r>
      <rPr>
        <sz val="11"/>
        <color theme="1"/>
        <rFont val="ＭＳ Ｐ明朝"/>
        <family val="1"/>
        <charset val="128"/>
      </rPr>
      <t>相試験では、耐久性応答が認められた。
進行性黒色腫患者に対し、化学療法と比較して安全性と有効性のエンドポイントを評価する第</t>
    </r>
    <r>
      <rPr>
        <sz val="11"/>
        <color theme="1"/>
        <rFont val="Times New Roman"/>
        <family val="1"/>
      </rPr>
      <t>3</t>
    </r>
    <r>
      <rPr>
        <sz val="11"/>
        <color theme="1"/>
        <rFont val="ＭＳ Ｐ明朝"/>
        <family val="1"/>
        <charset val="128"/>
      </rPr>
      <t>相試験を行った。
その結果、化学療法に対する優位な延命効果は示されなかった。</t>
    </r>
    <rPh sb="9" eb="11">
      <t>タイショウ</t>
    </rPh>
    <rPh sb="24" eb="27">
      <t>タイキュウセイ</t>
    </rPh>
    <rPh sb="27" eb="29">
      <t>オウトウ</t>
    </rPh>
    <rPh sb="30" eb="31">
      <t>ミト</t>
    </rPh>
    <rPh sb="43" eb="45">
      <t>カンジャ</t>
    </rPh>
    <rPh sb="46" eb="47">
      <t>タイ</t>
    </rPh>
    <rPh sb="54" eb="56">
      <t>ヒカク</t>
    </rPh>
    <rPh sb="78" eb="79">
      <t>ダイ</t>
    </rPh>
    <rPh sb="80" eb="81">
      <t>ソウ</t>
    </rPh>
    <rPh sb="81" eb="83">
      <t>シケン</t>
    </rPh>
    <rPh sb="84" eb="85">
      <t>オコナ</t>
    </rPh>
    <rPh sb="91" eb="93">
      <t>ケッカ</t>
    </rPh>
    <rPh sb="94" eb="96">
      <t>カガク</t>
    </rPh>
    <rPh sb="96" eb="98">
      <t>リョウホウ</t>
    </rPh>
    <rPh sb="99" eb="100">
      <t>タイ</t>
    </rPh>
    <rPh sb="102" eb="104">
      <t>ユウイ</t>
    </rPh>
    <rPh sb="105" eb="107">
      <t>エンメイ</t>
    </rPh>
    <rPh sb="107" eb="109">
      <t>コウカ</t>
    </rPh>
    <rPh sb="110" eb="111">
      <t>シメ</t>
    </rPh>
    <phoneticPr fontId="17"/>
  </si>
  <si>
    <r>
      <t>IL-12</t>
    </r>
    <r>
      <rPr>
        <sz val="11"/>
        <color theme="1"/>
        <rFont val="ＭＳ Ｐ明朝"/>
        <family val="1"/>
        <charset val="128"/>
      </rPr>
      <t>と</t>
    </r>
    <r>
      <rPr>
        <sz val="11"/>
        <color theme="1"/>
        <rFont val="Times New Roman"/>
        <family val="1"/>
      </rPr>
      <t>IL-23-p40</t>
    </r>
    <r>
      <rPr>
        <sz val="11"/>
        <color theme="1"/>
        <rFont val="ＭＳ Ｐ明朝"/>
        <family val="1"/>
        <charset val="128"/>
      </rPr>
      <t>を標的とした、尋常性乾癬、関節症性乾癬の治療薬である。</t>
    </r>
    <rPh sb="16" eb="18">
      <t>ヒョウテキ</t>
    </rPh>
    <rPh sb="35" eb="38">
      <t>チリョウヤク</t>
    </rPh>
    <phoneticPr fontId="17"/>
  </si>
  <si>
    <r>
      <rPr>
        <sz val="11"/>
        <color theme="1"/>
        <rFont val="ＭＳ Ｐ明朝"/>
        <family val="1"/>
        <charset val="128"/>
      </rPr>
      <t>進行非小細胞肺がん（</t>
    </r>
    <r>
      <rPr>
        <sz val="11"/>
        <color theme="1"/>
        <rFont val="Times New Roman"/>
        <family val="1"/>
      </rPr>
      <t>NSCLC</t>
    </r>
    <r>
      <rPr>
        <sz val="11"/>
        <color theme="1"/>
        <rFont val="ＭＳ Ｐ明朝"/>
        <family val="1"/>
        <charset val="128"/>
      </rPr>
      <t>）、</t>
    </r>
    <r>
      <rPr>
        <sz val="11"/>
        <color theme="1"/>
        <rFont val="Times New Roman"/>
        <family val="1"/>
      </rPr>
      <t>HER2</t>
    </r>
    <r>
      <rPr>
        <sz val="11"/>
        <color theme="1"/>
        <rFont val="ＭＳ Ｐ明朝"/>
        <family val="1"/>
        <charset val="128"/>
      </rPr>
      <t>陰性乳がんおよび進行性膵臓がんの患者に対する第</t>
    </r>
    <r>
      <rPr>
        <sz val="11"/>
        <color theme="1"/>
        <rFont val="Times New Roman"/>
        <family val="1"/>
      </rPr>
      <t>1b</t>
    </r>
    <r>
      <rPr>
        <sz val="11"/>
        <color theme="1"/>
        <rFont val="ＭＳ Ｐ明朝"/>
        <family val="1"/>
        <charset val="128"/>
      </rPr>
      <t>相試験の結果、有害事象のリスクが示唆された。
登録項目を削減し、再度試験が行われている。</t>
    </r>
    <rPh sb="40" eb="41">
      <t>タイ</t>
    </rPh>
    <rPh sb="43" eb="44">
      <t>ダイ</t>
    </rPh>
    <rPh sb="46" eb="49">
      <t>ソウシケン</t>
    </rPh>
    <rPh sb="50" eb="52">
      <t>ケッカ</t>
    </rPh>
    <rPh sb="62" eb="64">
      <t>シサ</t>
    </rPh>
    <rPh sb="69" eb="71">
      <t>トウロク</t>
    </rPh>
    <rPh sb="71" eb="73">
      <t>コウモク</t>
    </rPh>
    <rPh sb="74" eb="76">
      <t>サクゲン</t>
    </rPh>
    <rPh sb="78" eb="80">
      <t>サイド</t>
    </rPh>
    <rPh sb="80" eb="82">
      <t>シケン</t>
    </rPh>
    <rPh sb="83" eb="84">
      <t>オコナ</t>
    </rPh>
    <phoneticPr fontId="17"/>
  </si>
  <si>
    <r>
      <rPr>
        <sz val="11"/>
        <color theme="1"/>
        <rFont val="ＭＳ Ｐ明朝"/>
        <family val="1"/>
        <charset val="128"/>
      </rPr>
      <t>重度のクローン病、中等度または重度の潰瘍性大腸炎の治療薬である。
インテグリン</t>
    </r>
    <r>
      <rPr>
        <sz val="11"/>
        <color theme="1"/>
        <rFont val="Times New Roman"/>
        <family val="1"/>
      </rPr>
      <t>α4β7</t>
    </r>
    <r>
      <rPr>
        <sz val="11"/>
        <color theme="1"/>
        <rFont val="ＭＳ Ｐ明朝"/>
        <family val="1"/>
        <charset val="128"/>
      </rPr>
      <t>を標的としている。</t>
    </r>
    <rPh sb="25" eb="28">
      <t>チリョウヤク</t>
    </rPh>
    <phoneticPr fontId="17"/>
  </si>
  <si>
    <r>
      <rPr>
        <sz val="11"/>
        <color theme="1"/>
        <rFont val="ＭＳ Ｐ明朝"/>
        <family val="1"/>
        <charset val="128"/>
      </rPr>
      <t>特発性血小板減少性紫斑病（</t>
    </r>
    <r>
      <rPr>
        <sz val="11"/>
        <color theme="1"/>
        <rFont val="Times New Roman"/>
        <family val="1"/>
      </rPr>
      <t>ITP</t>
    </r>
    <r>
      <rPr>
        <sz val="11"/>
        <color theme="1"/>
        <rFont val="ＭＳ Ｐ明朝"/>
        <family val="1"/>
        <charset val="128"/>
      </rPr>
      <t>）及び慢性リンパ性白血病（</t>
    </r>
    <r>
      <rPr>
        <sz val="11"/>
        <color theme="1"/>
        <rFont val="Times New Roman"/>
        <family val="1"/>
      </rPr>
      <t>CLL</t>
    </r>
    <r>
      <rPr>
        <sz val="11"/>
        <color theme="1"/>
        <rFont val="ＭＳ Ｐ明朝"/>
        <family val="1"/>
        <charset val="128"/>
      </rPr>
      <t>）患者を対象とした第</t>
    </r>
    <r>
      <rPr>
        <sz val="11"/>
        <color theme="1"/>
        <rFont val="Times New Roman"/>
        <family val="1"/>
      </rPr>
      <t>1/2</t>
    </r>
    <r>
      <rPr>
        <sz val="11"/>
        <color theme="1"/>
        <rFont val="ＭＳ Ｐ明朝"/>
        <family val="1"/>
        <charset val="128"/>
      </rPr>
      <t>相試験が実施されている。</t>
    </r>
    <rPh sb="0" eb="3">
      <t>トクハツセイ</t>
    </rPh>
    <rPh sb="3" eb="6">
      <t>ケッショウバン</t>
    </rPh>
    <rPh sb="6" eb="9">
      <t>ゲンショウセイ</t>
    </rPh>
    <rPh sb="9" eb="11">
      <t>シハン</t>
    </rPh>
    <rPh sb="11" eb="12">
      <t>ビョウ</t>
    </rPh>
    <rPh sb="17" eb="18">
      <t>オヨ</t>
    </rPh>
    <rPh sb="33" eb="35">
      <t>カンジャ</t>
    </rPh>
    <rPh sb="36" eb="38">
      <t>タイショウ</t>
    </rPh>
    <rPh sb="41" eb="42">
      <t>ダイ</t>
    </rPh>
    <rPh sb="45" eb="46">
      <t>ソウ</t>
    </rPh>
    <rPh sb="46" eb="48">
      <t>シケン</t>
    </rPh>
    <rPh sb="49" eb="51">
      <t>ジッシ</t>
    </rPh>
    <phoneticPr fontId="17"/>
  </si>
  <si>
    <r>
      <rPr>
        <sz val="11"/>
        <color theme="1"/>
        <rFont val="ＭＳ Ｐ明朝"/>
        <family val="1"/>
        <charset val="128"/>
      </rPr>
      <t>販売者である</t>
    </r>
    <r>
      <rPr>
        <sz val="11"/>
        <color theme="1"/>
        <rFont val="Times New Roman"/>
        <family val="1"/>
      </rPr>
      <t>Biomedix</t>
    </r>
    <r>
      <rPr>
        <sz val="11"/>
        <color theme="1"/>
        <rFont val="ＭＳ Ｐ明朝"/>
        <family val="1"/>
        <charset val="128"/>
      </rPr>
      <t>株式会社が、商業的理由で販売承認を更新せず、</t>
    </r>
    <r>
      <rPr>
        <sz val="11"/>
        <color theme="1"/>
        <rFont val="Times New Roman"/>
        <family val="1"/>
      </rPr>
      <t>2003</t>
    </r>
    <r>
      <rPr>
        <sz val="11"/>
        <color theme="1"/>
        <rFont val="ＭＳ Ｐ明朝"/>
        <family val="1"/>
        <charset val="128"/>
      </rPr>
      <t>年</t>
    </r>
    <r>
      <rPr>
        <sz val="11"/>
        <color theme="1"/>
        <rFont val="Times New Roman"/>
        <family val="1"/>
      </rPr>
      <t>9</t>
    </r>
    <r>
      <rPr>
        <sz val="11"/>
        <color theme="1"/>
        <rFont val="ＭＳ Ｐ明朝"/>
        <family val="1"/>
        <charset val="128"/>
      </rPr>
      <t>月に承認が満了した。</t>
    </r>
    <rPh sb="0" eb="3">
      <t>ハンバイシャ</t>
    </rPh>
    <rPh sb="14" eb="18">
      <t>カブシキガイシャ</t>
    </rPh>
    <rPh sb="20" eb="23">
      <t>ショウギョウテキ</t>
    </rPh>
    <rPh sb="23" eb="25">
      <t>リユウ</t>
    </rPh>
    <rPh sb="26" eb="28">
      <t>ハンバイ</t>
    </rPh>
    <rPh sb="28" eb="30">
      <t>ショウニン</t>
    </rPh>
    <rPh sb="31" eb="33">
      <t>コウシン</t>
    </rPh>
    <rPh sb="40" eb="41">
      <t>ネン</t>
    </rPh>
    <rPh sb="42" eb="43">
      <t>ガツ</t>
    </rPh>
    <rPh sb="44" eb="46">
      <t>ショウニン</t>
    </rPh>
    <rPh sb="47" eb="49">
      <t>マンリョウ</t>
    </rPh>
    <phoneticPr fontId="17"/>
  </si>
  <si>
    <r>
      <rPr>
        <sz val="11"/>
        <color theme="1"/>
        <rFont val="ＭＳ Ｐ明朝"/>
        <family val="1"/>
        <charset val="128"/>
      </rPr>
      <t>ステージ</t>
    </r>
    <r>
      <rPr>
        <sz val="11"/>
        <color theme="1"/>
        <rFont val="Times New Roman"/>
        <family val="1"/>
      </rPr>
      <t>III</t>
    </r>
    <r>
      <rPr>
        <sz val="11"/>
        <color theme="1"/>
        <rFont val="ＭＳ Ｐ明朝"/>
        <family val="1"/>
        <charset val="128"/>
      </rPr>
      <t>または</t>
    </r>
    <r>
      <rPr>
        <sz val="11"/>
        <color theme="1"/>
        <rFont val="Times New Roman"/>
        <family val="1"/>
      </rPr>
      <t>IV</t>
    </r>
    <r>
      <rPr>
        <sz val="11"/>
        <color theme="1"/>
        <rFont val="ＭＳ Ｐ明朝"/>
        <family val="1"/>
        <charset val="128"/>
      </rPr>
      <t>期の膵臓がん患者を対象に行った</t>
    </r>
    <r>
      <rPr>
        <sz val="11"/>
        <color theme="1"/>
        <rFont val="Times New Roman"/>
        <family val="1"/>
      </rPr>
      <t>gemcitabine</t>
    </r>
    <r>
      <rPr>
        <sz val="11"/>
        <color theme="1"/>
        <rFont val="ＭＳ Ｐ明朝"/>
        <family val="1"/>
        <charset val="128"/>
      </rPr>
      <t>との併用第</t>
    </r>
    <r>
      <rPr>
        <sz val="11"/>
        <color theme="1"/>
        <rFont val="Times New Roman"/>
        <family val="1"/>
      </rPr>
      <t>1/2b</t>
    </r>
    <r>
      <rPr>
        <sz val="11"/>
        <color theme="1"/>
        <rFont val="ＭＳ Ｐ明朝"/>
        <family val="1"/>
        <charset val="128"/>
      </rPr>
      <t>相試験を通過した。
現在第</t>
    </r>
    <r>
      <rPr>
        <sz val="11"/>
        <color theme="1"/>
        <rFont val="Times New Roman"/>
        <family val="1"/>
      </rPr>
      <t>3</t>
    </r>
    <r>
      <rPr>
        <sz val="11"/>
        <color theme="1"/>
        <rFont val="ＭＳ Ｐ明朝"/>
        <family val="1"/>
        <charset val="128"/>
      </rPr>
      <t>相試験が実施されている。</t>
    </r>
    <rPh sb="14" eb="16">
      <t>スイゾウ</t>
    </rPh>
    <rPh sb="21" eb="23">
      <t>タイショウ</t>
    </rPh>
    <rPh sb="24" eb="25">
      <t>オコナ</t>
    </rPh>
    <rPh sb="40" eb="42">
      <t>ヘイヨウ</t>
    </rPh>
    <rPh sb="42" eb="43">
      <t>ダイ</t>
    </rPh>
    <rPh sb="47" eb="48">
      <t>ソウ</t>
    </rPh>
    <rPh sb="48" eb="50">
      <t>シケン</t>
    </rPh>
    <rPh sb="51" eb="53">
      <t>ツウカ</t>
    </rPh>
    <rPh sb="57" eb="59">
      <t>ゲンザイ</t>
    </rPh>
    <rPh sb="59" eb="60">
      <t>ダイ</t>
    </rPh>
    <rPh sb="61" eb="64">
      <t>ソウシケン</t>
    </rPh>
    <rPh sb="65" eb="67">
      <t>ジッシ</t>
    </rPh>
    <phoneticPr fontId="17"/>
  </si>
  <si>
    <r>
      <t xml:space="preserve">abatacept
</t>
    </r>
    <r>
      <rPr>
        <sz val="11"/>
        <color theme="1"/>
        <rFont val="ＭＳ Ｐ明朝"/>
        <family val="1"/>
        <charset val="128"/>
      </rPr>
      <t>アバタセプト</t>
    </r>
  </si>
  <si>
    <r>
      <rPr>
        <sz val="11"/>
        <color theme="1"/>
        <rFont val="ＭＳ Ｐ明朝"/>
        <family val="1"/>
        <charset val="128"/>
      </rPr>
      <t>重度の関節リウマチを抑制する医薬品である。
服用患者ががんを発症するケースが報告されたため、関連の有無が研究中である。</t>
    </r>
    <rPh sb="0" eb="2">
      <t>ジュウド</t>
    </rPh>
    <rPh sb="3" eb="5">
      <t>カンセツ</t>
    </rPh>
    <rPh sb="10" eb="12">
      <t>ヨクセイ</t>
    </rPh>
    <rPh sb="14" eb="17">
      <t>イヤクヒン</t>
    </rPh>
    <rPh sb="22" eb="24">
      <t>フクヨウ</t>
    </rPh>
    <rPh sb="24" eb="26">
      <t>カンジャ</t>
    </rPh>
    <rPh sb="30" eb="32">
      <t>ハッショウ</t>
    </rPh>
    <rPh sb="38" eb="40">
      <t>ホウコク</t>
    </rPh>
    <rPh sb="46" eb="48">
      <t>カンレン</t>
    </rPh>
    <rPh sb="49" eb="51">
      <t>ウム</t>
    </rPh>
    <rPh sb="52" eb="55">
      <t>ケンキュウチュウ</t>
    </rPh>
    <phoneticPr fontId="17"/>
  </si>
  <si>
    <r>
      <rPr>
        <sz val="11"/>
        <color theme="1"/>
        <rFont val="ＭＳ Ｐ明朝"/>
        <family val="1"/>
        <charset val="128"/>
      </rPr>
      <t>急性冠症候群の治療薬である。</t>
    </r>
  </si>
  <si>
    <r>
      <rPr>
        <sz val="11"/>
        <color theme="1"/>
        <rFont val="ＭＳ Ｐ明朝"/>
        <family val="1"/>
        <charset val="128"/>
      </rPr>
      <t>第</t>
    </r>
    <r>
      <rPr>
        <sz val="11"/>
        <color theme="1"/>
        <rFont val="Times New Roman"/>
        <family val="1"/>
      </rPr>
      <t>1</t>
    </r>
    <r>
      <rPr>
        <sz val="11"/>
        <color theme="1"/>
        <rFont val="ＭＳ Ｐ明朝"/>
        <family val="1"/>
        <charset val="128"/>
      </rPr>
      <t>相試験において、安全性、体内分布が特定された。
がん患者の腫瘍に対する腫瘍特異性が確認された。</t>
    </r>
    <rPh sb="0" eb="1">
      <t>ダイ</t>
    </rPh>
    <rPh sb="2" eb="3">
      <t>ソウ</t>
    </rPh>
    <rPh sb="19" eb="21">
      <t>トクテイ</t>
    </rPh>
    <rPh sb="34" eb="35">
      <t>タイ</t>
    </rPh>
    <rPh sb="37" eb="39">
      <t>シュヨウ</t>
    </rPh>
    <rPh sb="39" eb="42">
      <t>トクイセイ</t>
    </rPh>
    <rPh sb="43" eb="45">
      <t>カクニン</t>
    </rPh>
    <phoneticPr fontId="17"/>
  </si>
  <si>
    <r>
      <rPr>
        <sz val="11"/>
        <color theme="1"/>
        <rFont val="ＭＳ Ｐ明朝"/>
        <family val="1"/>
        <charset val="128"/>
      </rPr>
      <t>（</t>
    </r>
    <r>
      <rPr>
        <sz val="11"/>
        <color theme="1"/>
        <rFont val="Times New Roman"/>
        <family val="1"/>
      </rPr>
      <t>Rheumatrex</t>
    </r>
    <r>
      <rPr>
        <sz val="11"/>
        <color theme="1"/>
        <rFont val="ＭＳ Ｐ明朝"/>
        <family val="1"/>
        <charset val="128"/>
      </rPr>
      <t>）</t>
    </r>
  </si>
  <si>
    <r>
      <t xml:space="preserve">aflibercept
</t>
    </r>
    <r>
      <rPr>
        <sz val="11"/>
        <color theme="1"/>
        <rFont val="ＭＳ Ｐ明朝"/>
        <family val="1"/>
        <charset val="128"/>
      </rPr>
      <t>アフリベルセプト</t>
    </r>
  </si>
  <si>
    <r>
      <rPr>
        <sz val="11"/>
        <color theme="1"/>
        <rFont val="ＭＳ Ｐ明朝"/>
        <family val="1"/>
        <charset val="128"/>
      </rPr>
      <t>原発性高コレステロール血症の成人治療薬である。</t>
    </r>
  </si>
  <si>
    <r>
      <rPr>
        <sz val="11"/>
        <color theme="1"/>
        <rFont val="ＭＳ Ｐ明朝"/>
        <family val="1"/>
        <charset val="128"/>
      </rPr>
      <t>商業的理由で、</t>
    </r>
    <r>
      <rPr>
        <sz val="11"/>
        <color theme="1"/>
        <rFont val="Times New Roman"/>
        <family val="1"/>
      </rPr>
      <t>2005</t>
    </r>
    <r>
      <rPr>
        <sz val="11"/>
        <color theme="1"/>
        <rFont val="ＭＳ Ｐ明朝"/>
        <family val="1"/>
        <charset val="128"/>
      </rPr>
      <t>年</t>
    </r>
    <r>
      <rPr>
        <sz val="11"/>
        <color theme="1"/>
        <rFont val="Times New Roman"/>
        <family val="1"/>
      </rPr>
      <t>9</t>
    </r>
    <r>
      <rPr>
        <sz val="11"/>
        <color theme="1"/>
        <rFont val="ＭＳ Ｐ明朝"/>
        <family val="1"/>
        <charset val="128"/>
      </rPr>
      <t>月に販売承認が撤回された。</t>
    </r>
  </si>
  <si>
    <r>
      <rPr>
        <sz val="11"/>
        <color theme="1"/>
        <rFont val="ＭＳ Ｐ明朝"/>
        <family val="1"/>
        <charset val="128"/>
      </rPr>
      <t>自己免疫疾患の治療薬である。</t>
    </r>
  </si>
  <si>
    <r>
      <rPr>
        <sz val="11"/>
        <color theme="1"/>
        <rFont val="ＭＳ Ｐ明朝"/>
        <family val="1"/>
        <charset val="128"/>
      </rPr>
      <t>急性リンパ性白血病治療薬である。</t>
    </r>
  </si>
  <si>
    <r>
      <rPr>
        <sz val="11"/>
        <color theme="1"/>
        <rFont val="ＭＳ Ｐ明朝"/>
        <family val="1"/>
        <charset val="128"/>
      </rPr>
      <t>前立腺がん治療薬である。</t>
    </r>
  </si>
  <si>
    <r>
      <rPr>
        <sz val="11"/>
        <color theme="1"/>
        <rFont val="ＭＳ Ｐ明朝"/>
        <family val="1"/>
        <charset val="128"/>
      </rPr>
      <t>がん性腹水の治療薬である。</t>
    </r>
  </si>
  <si>
    <r>
      <rPr>
        <sz val="11"/>
        <color theme="1"/>
        <rFont val="ＭＳ Ｐ明朝"/>
        <family val="1"/>
        <charset val="128"/>
      </rPr>
      <t>（</t>
    </r>
    <r>
      <rPr>
        <sz val="11"/>
        <color theme="1"/>
        <rFont val="Times New Roman"/>
        <family val="1"/>
      </rPr>
      <t>irinotecan</t>
    </r>
    <r>
      <rPr>
        <sz val="11"/>
        <color theme="1"/>
        <rFont val="ＭＳ Ｐ明朝"/>
        <family val="1"/>
        <charset val="128"/>
      </rPr>
      <t>）</t>
    </r>
  </si>
  <si>
    <r>
      <t xml:space="preserve">etanercept
</t>
    </r>
    <r>
      <rPr>
        <sz val="11"/>
        <color theme="1"/>
        <rFont val="ＭＳ Ｐ明朝"/>
        <family val="1"/>
        <charset val="128"/>
      </rPr>
      <t>エタネルセプト</t>
    </r>
  </si>
  <si>
    <r>
      <rPr>
        <sz val="11"/>
        <color theme="1"/>
        <rFont val="ＭＳ Ｐ明朝"/>
        <family val="1"/>
        <charset val="128"/>
      </rPr>
      <t>現在、難治性の転移性腎細胞がん患者に対する、腎細胞がんにおける安全性と有効性を評価する第</t>
    </r>
    <r>
      <rPr>
        <sz val="11"/>
        <color theme="1"/>
        <rFont val="Times New Roman"/>
        <family val="1"/>
      </rPr>
      <t>2</t>
    </r>
    <r>
      <rPr>
        <sz val="11"/>
        <color theme="1"/>
        <rFont val="ＭＳ Ｐ明朝"/>
        <family val="1"/>
        <charset val="128"/>
      </rPr>
      <t>相試験が実施されている。</t>
    </r>
  </si>
  <si>
    <r>
      <rPr>
        <sz val="11"/>
        <color theme="1"/>
        <rFont val="ＭＳ Ｐ明朝"/>
        <family val="1"/>
        <charset val="128"/>
      </rPr>
      <t xml:space="preserve">炎症性疾患、関節リウマチ、ブドウ膜炎、喘息、クローン病の治療薬である。
</t>
    </r>
    <r>
      <rPr>
        <sz val="11"/>
        <color theme="1"/>
        <rFont val="Times New Roman"/>
        <family val="1"/>
      </rPr>
      <t>abatacept</t>
    </r>
    <r>
      <rPr>
        <sz val="11"/>
        <color theme="1"/>
        <rFont val="ＭＳ Ｐ明朝"/>
        <family val="1"/>
        <charset val="128"/>
      </rPr>
      <t>との併用はできない。</t>
    </r>
  </si>
  <si>
    <r>
      <rPr>
        <sz val="11"/>
        <color theme="1"/>
        <rFont val="ＭＳ Ｐ明朝"/>
        <family val="1"/>
        <charset val="128"/>
      </rPr>
      <t>特定疾患のアミロイドーシス治療薬である。</t>
    </r>
    <rPh sb="0" eb="2">
      <t>トクテイ</t>
    </rPh>
    <rPh sb="2" eb="4">
      <t>シッカン</t>
    </rPh>
    <phoneticPr fontId="17"/>
  </si>
  <si>
    <r>
      <rPr>
        <sz val="11"/>
        <color theme="1"/>
        <rFont val="ＭＳ Ｐ明朝"/>
        <family val="1"/>
        <charset val="128"/>
      </rPr>
      <t>重度の尋常性乾癬患者に対する、無作為化、プラセボ対象試験を行う第</t>
    </r>
    <r>
      <rPr>
        <sz val="11"/>
        <color theme="1"/>
        <rFont val="Times New Roman"/>
        <family val="1"/>
      </rPr>
      <t>2b</t>
    </r>
    <r>
      <rPr>
        <sz val="11"/>
        <color theme="1"/>
        <rFont val="ＭＳ Ｐ明朝"/>
        <family val="1"/>
        <charset val="128"/>
      </rPr>
      <t>相試験において、</t>
    </r>
    <r>
      <rPr>
        <sz val="11"/>
        <color theme="1"/>
        <rFont val="Times New Roman"/>
        <family val="1"/>
      </rPr>
      <t>16</t>
    </r>
    <r>
      <rPr>
        <sz val="11"/>
        <color theme="1"/>
        <rFont val="ＭＳ Ｐ明朝"/>
        <family val="1"/>
        <charset val="128"/>
      </rPr>
      <t>週間で</t>
    </r>
    <r>
      <rPr>
        <sz val="11"/>
        <color theme="1"/>
        <rFont val="Times New Roman"/>
        <family val="1"/>
      </rPr>
      <t>PGA</t>
    </r>
    <r>
      <rPr>
        <sz val="11"/>
        <color theme="1"/>
        <rFont val="ＭＳ Ｐ明朝"/>
        <family val="1"/>
        <charset val="128"/>
      </rPr>
      <t>スコアを満たした。
現在、第</t>
    </r>
    <r>
      <rPr>
        <sz val="11"/>
        <color theme="1"/>
        <rFont val="Times New Roman"/>
        <family val="1"/>
      </rPr>
      <t>3</t>
    </r>
    <r>
      <rPr>
        <sz val="11"/>
        <color theme="1"/>
        <rFont val="ＭＳ Ｐ明朝"/>
        <family val="1"/>
        <charset val="128"/>
      </rPr>
      <t>相試験が実施されている。</t>
    </r>
  </si>
  <si>
    <r>
      <rPr>
        <sz val="11"/>
        <color theme="1"/>
        <rFont val="ＭＳ Ｐ明朝"/>
        <family val="1"/>
        <charset val="128"/>
      </rPr>
      <t>血液凝固障害の治療薬である。</t>
    </r>
  </si>
  <si>
    <r>
      <rPr>
        <sz val="11"/>
        <color theme="1"/>
        <rFont val="ＭＳ Ｐ明朝"/>
        <family val="1"/>
        <charset val="128"/>
      </rPr>
      <t>安全性と有効性を評価する</t>
    </r>
    <r>
      <rPr>
        <sz val="11"/>
        <color theme="1"/>
        <rFont val="Times New Roman"/>
        <family val="1"/>
      </rPr>
      <t>2</t>
    </r>
    <r>
      <rPr>
        <sz val="11"/>
        <color theme="1"/>
        <rFont val="ＭＳ Ｐ明朝"/>
        <family val="1"/>
        <charset val="128"/>
      </rPr>
      <t>群からなる無作為化、非盲検第</t>
    </r>
    <r>
      <rPr>
        <sz val="11"/>
        <color theme="1"/>
        <rFont val="Times New Roman"/>
        <family val="1"/>
      </rPr>
      <t>3</t>
    </r>
    <r>
      <rPr>
        <sz val="11"/>
        <color theme="1"/>
        <rFont val="ＭＳ Ｐ明朝"/>
        <family val="1"/>
        <charset val="128"/>
      </rPr>
      <t>相試験を行っていたが、</t>
    </r>
    <r>
      <rPr>
        <sz val="11"/>
        <color theme="1"/>
        <rFont val="Times New Roman"/>
        <family val="1"/>
      </rPr>
      <t>rituximab</t>
    </r>
    <r>
      <rPr>
        <sz val="11"/>
        <color theme="1"/>
        <rFont val="ＭＳ Ｐ明朝"/>
        <family val="1"/>
        <charset val="128"/>
      </rPr>
      <t>との併用療法に対する優越性が達成できなかった事が示された。
尚、新たなまたは予想外の安全性の問題は確認されなかった。
この結果を受け、</t>
    </r>
    <r>
      <rPr>
        <sz val="11"/>
        <color theme="1"/>
        <rFont val="Times New Roman"/>
        <family val="1"/>
      </rPr>
      <t>2013</t>
    </r>
    <r>
      <rPr>
        <sz val="11"/>
        <color theme="1"/>
        <rFont val="ＭＳ Ｐ明朝"/>
        <family val="1"/>
        <charset val="128"/>
      </rPr>
      <t>年</t>
    </r>
    <r>
      <rPr>
        <sz val="11"/>
        <color theme="1"/>
        <rFont val="Times New Roman"/>
        <family val="1"/>
      </rPr>
      <t>5</t>
    </r>
    <r>
      <rPr>
        <sz val="11"/>
        <color theme="1"/>
        <rFont val="ＭＳ Ｐ明朝"/>
        <family val="1"/>
        <charset val="128"/>
      </rPr>
      <t>月に第</t>
    </r>
    <r>
      <rPr>
        <sz val="11"/>
        <color theme="1"/>
        <rFont val="Times New Roman"/>
        <family val="1"/>
      </rPr>
      <t>3</t>
    </r>
    <r>
      <rPr>
        <sz val="11"/>
        <color theme="1"/>
        <rFont val="ＭＳ Ｐ明朝"/>
        <family val="1"/>
        <charset val="128"/>
      </rPr>
      <t>相試験が中止された。</t>
    </r>
  </si>
  <si>
    <r>
      <t>bevacizumab</t>
    </r>
    <r>
      <rPr>
        <sz val="11"/>
        <color theme="1"/>
        <rFont val="ＭＳ Ｐ明朝"/>
        <family val="1"/>
        <charset val="128"/>
      </rPr>
      <t>もしくは</t>
    </r>
    <r>
      <rPr>
        <sz val="11"/>
        <color theme="1"/>
        <rFont val="Times New Roman"/>
        <family val="1"/>
      </rPr>
      <t>vemurafenib</t>
    </r>
  </si>
  <si>
    <r>
      <rPr>
        <sz val="11"/>
        <color theme="1"/>
        <rFont val="ＭＳ Ｐ明朝"/>
        <family val="1"/>
        <charset val="128"/>
      </rPr>
      <t>プラセボ対照の第</t>
    </r>
    <r>
      <rPr>
        <sz val="11"/>
        <color theme="1"/>
        <rFont val="Times New Roman"/>
        <family val="1"/>
      </rPr>
      <t>2</t>
    </r>
    <r>
      <rPr>
        <sz val="11"/>
        <color theme="1"/>
        <rFont val="ＭＳ Ｐ明朝"/>
        <family val="1"/>
        <charset val="128"/>
      </rPr>
      <t>相試験において、</t>
    </r>
    <r>
      <rPr>
        <sz val="11"/>
        <color theme="1"/>
        <rFont val="Times New Roman"/>
        <family val="1"/>
      </rPr>
      <t>lampalizumab</t>
    </r>
    <r>
      <rPr>
        <sz val="11"/>
        <color theme="1"/>
        <rFont val="ＭＳ Ｐ明朝"/>
        <family val="1"/>
        <charset val="128"/>
      </rPr>
      <t>を月</t>
    </r>
    <r>
      <rPr>
        <sz val="11"/>
        <color theme="1"/>
        <rFont val="Times New Roman"/>
        <family val="1"/>
      </rPr>
      <t>1</t>
    </r>
    <r>
      <rPr>
        <sz val="11"/>
        <color theme="1"/>
        <rFont val="ＭＳ Ｐ明朝"/>
        <family val="1"/>
        <charset val="128"/>
      </rPr>
      <t>回投与された地図状萎縮（</t>
    </r>
    <r>
      <rPr>
        <sz val="11"/>
        <color theme="1"/>
        <rFont val="Times New Roman"/>
        <family val="1"/>
      </rPr>
      <t>GA</t>
    </r>
    <r>
      <rPr>
        <sz val="11"/>
        <color theme="1"/>
        <rFont val="ＭＳ Ｐ明朝"/>
        <family val="1"/>
        <charset val="128"/>
      </rPr>
      <t>）患者のサブ集団で</t>
    </r>
    <r>
      <rPr>
        <sz val="11"/>
        <color theme="1"/>
        <rFont val="Times New Roman"/>
        <family val="1"/>
      </rPr>
      <t>18</t>
    </r>
    <r>
      <rPr>
        <sz val="11"/>
        <color theme="1"/>
        <rFont val="ＭＳ Ｐ明朝"/>
        <family val="1"/>
        <charset val="128"/>
      </rPr>
      <t>ヶ月後の</t>
    </r>
    <r>
      <rPr>
        <sz val="11"/>
        <color theme="1"/>
        <rFont val="Times New Roman"/>
        <family val="1"/>
      </rPr>
      <t>GA</t>
    </r>
    <r>
      <rPr>
        <sz val="11"/>
        <color theme="1"/>
        <rFont val="ＭＳ Ｐ明朝"/>
        <family val="1"/>
        <charset val="128"/>
      </rPr>
      <t>進行率が</t>
    </r>
    <r>
      <rPr>
        <sz val="11"/>
        <color theme="1"/>
        <rFont val="Times New Roman"/>
        <family val="1"/>
      </rPr>
      <t>44%</t>
    </r>
    <r>
      <rPr>
        <sz val="11"/>
        <color theme="1"/>
        <rFont val="ＭＳ Ｐ明朝"/>
        <family val="1"/>
        <charset val="128"/>
      </rPr>
      <t>低下していた。
この結果を受け、</t>
    </r>
    <r>
      <rPr>
        <sz val="11"/>
        <color theme="1"/>
        <rFont val="Times New Roman"/>
        <family val="1"/>
      </rPr>
      <t>2014</t>
    </r>
    <r>
      <rPr>
        <sz val="11"/>
        <color theme="1"/>
        <rFont val="ＭＳ Ｐ明朝"/>
        <family val="1"/>
        <charset val="128"/>
      </rPr>
      <t>年</t>
    </r>
    <r>
      <rPr>
        <sz val="11"/>
        <color theme="1"/>
        <rFont val="Times New Roman"/>
        <family val="1"/>
      </rPr>
      <t>9</t>
    </r>
    <r>
      <rPr>
        <sz val="11"/>
        <color theme="1"/>
        <rFont val="ＭＳ Ｐ明朝"/>
        <family val="1"/>
        <charset val="128"/>
      </rPr>
      <t>月から、</t>
    </r>
    <r>
      <rPr>
        <sz val="11"/>
        <color theme="1"/>
        <rFont val="Times New Roman"/>
        <family val="1"/>
      </rPr>
      <t>GA</t>
    </r>
    <r>
      <rPr>
        <sz val="11"/>
        <color theme="1"/>
        <rFont val="ＭＳ Ｐ明朝"/>
        <family val="1"/>
        <charset val="128"/>
      </rPr>
      <t>と加齢黄斑変性（</t>
    </r>
    <r>
      <rPr>
        <sz val="11"/>
        <color theme="1"/>
        <rFont val="Times New Roman"/>
        <family val="1"/>
      </rPr>
      <t>AMD</t>
    </r>
    <r>
      <rPr>
        <sz val="11"/>
        <color theme="1"/>
        <rFont val="ＭＳ Ｐ明朝"/>
        <family val="1"/>
        <charset val="128"/>
      </rPr>
      <t>）症に対する第</t>
    </r>
    <r>
      <rPr>
        <sz val="11"/>
        <color theme="1"/>
        <rFont val="Times New Roman"/>
        <family val="1"/>
      </rPr>
      <t>3</t>
    </r>
    <r>
      <rPr>
        <sz val="11"/>
        <color theme="1"/>
        <rFont val="ＭＳ Ｐ明朝"/>
        <family val="1"/>
        <charset val="128"/>
      </rPr>
      <t>相試験が実施されている。</t>
    </r>
  </si>
  <si>
    <r>
      <rPr>
        <sz val="11"/>
        <color theme="1"/>
        <rFont val="ＭＳ Ｐ明朝"/>
        <family val="1"/>
        <charset val="128"/>
      </rPr>
      <t>吸入ステロイド薬を使用もコントロール不十分な喘息患者を対象に第</t>
    </r>
    <r>
      <rPr>
        <sz val="11"/>
        <color theme="1"/>
        <rFont val="Times New Roman"/>
        <family val="1"/>
      </rPr>
      <t>2</t>
    </r>
    <r>
      <rPr>
        <sz val="11"/>
        <color theme="1"/>
        <rFont val="ＭＳ Ｐ明朝"/>
        <family val="1"/>
        <charset val="128"/>
      </rPr>
      <t>相試験を行ったところ、ペリオスチン濃度が低い患者群の喘息発作が</t>
    </r>
    <r>
      <rPr>
        <sz val="11"/>
        <color theme="1"/>
        <rFont val="Times New Roman"/>
        <family val="1"/>
      </rPr>
      <t>5%</t>
    </r>
    <r>
      <rPr>
        <sz val="11"/>
        <color theme="1"/>
        <rFont val="ＭＳ Ｐ明朝"/>
        <family val="1"/>
        <charset val="128"/>
      </rPr>
      <t>軽減されたのに対し、ペリオスチン濃度が高い患者群では</t>
    </r>
    <r>
      <rPr>
        <sz val="11"/>
        <color theme="1"/>
        <rFont val="Times New Roman"/>
        <family val="1"/>
      </rPr>
      <t>60%</t>
    </r>
    <r>
      <rPr>
        <sz val="11"/>
        <color theme="1"/>
        <rFont val="ＭＳ Ｐ明朝"/>
        <family val="1"/>
        <charset val="128"/>
      </rPr>
      <t>軽減された。
またペリオスチン濃度が高い患者群では、</t>
    </r>
    <r>
      <rPr>
        <sz val="11"/>
        <color theme="1"/>
        <rFont val="Times New Roman"/>
        <family val="1"/>
      </rPr>
      <t>1</t>
    </r>
    <r>
      <rPr>
        <sz val="11"/>
        <color theme="1"/>
        <rFont val="ＭＳ Ｐ明朝"/>
        <family val="1"/>
        <charset val="128"/>
      </rPr>
      <t>秒量の増加により肺機能が改善されることが示された。
現在、第</t>
    </r>
    <r>
      <rPr>
        <sz val="11"/>
        <color theme="1"/>
        <rFont val="Times New Roman"/>
        <family val="1"/>
      </rPr>
      <t>3</t>
    </r>
    <r>
      <rPr>
        <sz val="11"/>
        <color theme="1"/>
        <rFont val="ＭＳ Ｐ明朝"/>
        <family val="1"/>
        <charset val="128"/>
      </rPr>
      <t>相国際共同治験が</t>
    </r>
    <r>
      <rPr>
        <sz val="11"/>
        <color theme="1"/>
        <rFont val="Times New Roman"/>
        <family val="1"/>
      </rPr>
      <t>2</t>
    </r>
    <r>
      <rPr>
        <sz val="11"/>
        <color theme="1"/>
        <rFont val="ＭＳ Ｐ明朝"/>
        <family val="1"/>
        <charset val="128"/>
      </rPr>
      <t>本実施されている。</t>
    </r>
  </si>
  <si>
    <r>
      <rPr>
        <sz val="11"/>
        <color theme="1"/>
        <rFont val="ＭＳ Ｐ明朝"/>
        <family val="1"/>
        <charset val="128"/>
      </rPr>
      <t>高齢の急性骨髄性白血病（</t>
    </r>
    <r>
      <rPr>
        <sz val="11"/>
        <color theme="1"/>
        <rFont val="Times New Roman"/>
        <family val="1"/>
      </rPr>
      <t>AML</t>
    </r>
    <r>
      <rPr>
        <sz val="11"/>
        <color theme="1"/>
        <rFont val="ＭＳ Ｐ明朝"/>
        <family val="1"/>
        <charset val="128"/>
      </rPr>
      <t>）患者に対する第</t>
    </r>
    <r>
      <rPr>
        <sz val="11"/>
        <color theme="1"/>
        <rFont val="Times New Roman"/>
        <family val="1"/>
      </rPr>
      <t>2b</t>
    </r>
    <r>
      <rPr>
        <sz val="11"/>
        <color theme="1"/>
        <rFont val="ＭＳ Ｐ明朝"/>
        <family val="1"/>
        <charset val="128"/>
      </rPr>
      <t>相試験を行ったものの、主要評価項目である生存期間延長を満たしていないことが示された。
この結果を受け、</t>
    </r>
    <r>
      <rPr>
        <sz val="11"/>
        <color theme="1"/>
        <rFont val="Times New Roman"/>
        <family val="1"/>
      </rPr>
      <t>2010</t>
    </r>
    <r>
      <rPr>
        <sz val="11"/>
        <color theme="1"/>
        <rFont val="ＭＳ Ｐ明朝"/>
        <family val="1"/>
        <charset val="128"/>
      </rPr>
      <t>年</t>
    </r>
    <r>
      <rPr>
        <sz val="11"/>
        <color theme="1"/>
        <rFont val="Times New Roman"/>
        <family val="1"/>
      </rPr>
      <t>9</t>
    </r>
    <r>
      <rPr>
        <sz val="11"/>
        <color theme="1"/>
        <rFont val="ＭＳ Ｐ明朝"/>
        <family val="1"/>
        <charset val="128"/>
      </rPr>
      <t>月に開発が中止された。</t>
    </r>
  </si>
  <si>
    <r>
      <rPr>
        <sz val="11"/>
        <color theme="1"/>
        <rFont val="ＭＳ Ｐ明朝"/>
        <family val="1"/>
        <charset val="128"/>
      </rPr>
      <t>再発及び難治性骨髄腫患者を対象とした第</t>
    </r>
    <r>
      <rPr>
        <sz val="11"/>
        <color theme="1"/>
        <rFont val="Times New Roman"/>
        <family val="1"/>
      </rPr>
      <t>1</t>
    </r>
    <r>
      <rPr>
        <sz val="11"/>
        <color theme="1"/>
        <rFont val="ＭＳ Ｐ明朝"/>
        <family val="1"/>
        <charset val="128"/>
      </rPr>
      <t>相試験の結果、既存薬</t>
    </r>
    <r>
      <rPr>
        <sz val="11"/>
        <color theme="1"/>
        <rFont val="Times New Roman"/>
        <family val="1"/>
      </rPr>
      <t>Revlimid</t>
    </r>
    <r>
      <rPr>
        <sz val="11"/>
        <color theme="1"/>
        <rFont val="ＭＳ Ｐ明朝"/>
        <family val="1"/>
        <charset val="128"/>
      </rPr>
      <t>と組み合わせることで有効に治療できることが示された。
現在、第</t>
    </r>
    <r>
      <rPr>
        <sz val="11"/>
        <color theme="1"/>
        <rFont val="Times New Roman"/>
        <family val="1"/>
      </rPr>
      <t>2</t>
    </r>
    <r>
      <rPr>
        <sz val="11"/>
        <color theme="1"/>
        <rFont val="ＭＳ Ｐ明朝"/>
        <family val="1"/>
        <charset val="128"/>
      </rPr>
      <t>相試験が実施されている。</t>
    </r>
  </si>
  <si>
    <r>
      <rPr>
        <sz val="11"/>
        <color theme="1"/>
        <rFont val="ＭＳ Ｐ明朝"/>
        <family val="1"/>
        <charset val="128"/>
      </rPr>
      <t>現在、全身性エリテマトーデスの患者に対し、マルチセンター、無作為化、二重盲検、プラセボ対照の第</t>
    </r>
    <r>
      <rPr>
        <sz val="11"/>
        <color theme="1"/>
        <rFont val="Times New Roman"/>
        <family val="1"/>
      </rPr>
      <t>2</t>
    </r>
    <r>
      <rPr>
        <sz val="11"/>
        <color theme="1"/>
        <rFont val="ＭＳ Ｐ明朝"/>
        <family val="1"/>
        <charset val="128"/>
      </rPr>
      <t>相試験を実施しており、安全性と有効性の評価を行っている。</t>
    </r>
  </si>
  <si>
    <r>
      <rPr>
        <sz val="11"/>
        <color theme="1"/>
        <rFont val="ＭＳ Ｐ明朝"/>
        <family val="1"/>
        <charset val="128"/>
      </rPr>
      <t>現在、</t>
    </r>
    <r>
      <rPr>
        <sz val="11"/>
        <color theme="1"/>
        <rFont val="Times New Roman"/>
        <family val="1"/>
      </rPr>
      <t>HER2</t>
    </r>
    <r>
      <rPr>
        <sz val="11"/>
        <color theme="1"/>
        <rFont val="ＭＳ Ｐ明朝"/>
        <family val="1"/>
        <charset val="128"/>
      </rPr>
      <t>発現が低い人や難治性乳がん患者に対する第</t>
    </r>
    <r>
      <rPr>
        <sz val="11"/>
        <color theme="1"/>
        <rFont val="Times New Roman"/>
        <family val="1"/>
      </rPr>
      <t>2a</t>
    </r>
    <r>
      <rPr>
        <sz val="11"/>
        <color theme="1"/>
        <rFont val="ＭＳ Ｐ明朝"/>
        <family val="1"/>
        <charset val="128"/>
      </rPr>
      <t xml:space="preserve">相試験が行われている。
</t>
    </r>
    <r>
      <rPr>
        <sz val="11"/>
        <color theme="1"/>
        <rFont val="Times New Roman"/>
        <family val="1"/>
      </rPr>
      <t>2015</t>
    </r>
    <r>
      <rPr>
        <sz val="11"/>
        <color theme="1"/>
        <rFont val="ＭＳ Ｐ明朝"/>
        <family val="1"/>
        <charset val="128"/>
      </rPr>
      <t>年末から第</t>
    </r>
    <r>
      <rPr>
        <sz val="11"/>
        <color theme="1"/>
        <rFont val="Times New Roman"/>
        <family val="1"/>
      </rPr>
      <t>3</t>
    </r>
    <r>
      <rPr>
        <sz val="11"/>
        <color theme="1"/>
        <rFont val="ＭＳ Ｐ明朝"/>
        <family val="1"/>
        <charset val="128"/>
      </rPr>
      <t>相試験を開始する予定である。</t>
    </r>
  </si>
  <si>
    <t>R 2015_x000D_
(phase3)</t>
  </si>
  <si>
    <t>2003/9/1_x000D_
W</t>
  </si>
  <si>
    <t>2001/7/6_x000D_
W</t>
  </si>
  <si>
    <t>1996/10/4_x000D_
W</t>
  </si>
  <si>
    <t>1997/12/10_x000D_
W 2009</t>
  </si>
  <si>
    <t>1999/2/26_x000D_
W</t>
  </si>
  <si>
    <t>2004/9/20_x000D_
W</t>
  </si>
  <si>
    <t>R 2007_x000D_
(phase2)</t>
  </si>
  <si>
    <t>2000/5/17_x000D_
W 2010/6/21</t>
  </si>
  <si>
    <t>2015/7/20_x000D_
W</t>
  </si>
  <si>
    <t>2009/10/23_x000D_
W</t>
  </si>
  <si>
    <t>1998/9/25_x000D_
W</t>
  </si>
  <si>
    <t>AD</t>
    <phoneticPr fontId="3"/>
  </si>
  <si>
    <t>W</t>
    <phoneticPr fontId="3"/>
  </si>
  <si>
    <t>AD</t>
    <phoneticPr fontId="3"/>
  </si>
  <si>
    <t>AD</t>
    <phoneticPr fontId="3"/>
  </si>
  <si>
    <t>AD</t>
    <phoneticPr fontId="3"/>
  </si>
  <si>
    <t>R</t>
    <phoneticPr fontId="3"/>
  </si>
  <si>
    <t>III</t>
    <phoneticPr fontId="3"/>
  </si>
  <si>
    <t>AD</t>
    <phoneticPr fontId="3"/>
  </si>
  <si>
    <t>TNFα</t>
    <phoneticPr fontId="3"/>
  </si>
  <si>
    <t>Moderate to severe active rheumatoid arthritis, active psoriatic arthritis, active ankylosing spondylitis, moderate to severe active Crohn's disease, moderate to severe active ulcerative colitis, moderate to severe Vulgaris psoriasis, moderate to severe active juvenile idiopathic arthritis in children over 4 years and adults</t>
    <phoneticPr fontId="3"/>
  </si>
  <si>
    <t>Moderate to severe active rheumatoid arthritis, active psoriatic arthritis, active ankylosing spondylitis, moderate to severe active Crohn's disease, moderate to severe active ulcerative colitis, moderate to severe Vulgaris psoriasis, moderate to severe active juvenile idiopathic arthritis in children over 4 years and adults</t>
    <phoneticPr fontId="3"/>
  </si>
  <si>
    <t>https://www.mixonline.jp/Article/tabid/55/artid/54670/Default.aspx</t>
    <phoneticPr fontId="3"/>
  </si>
  <si>
    <r>
      <t>TNF</t>
    </r>
    <r>
      <rPr>
        <sz val="11"/>
        <color theme="1"/>
        <rFont val="ＭＳ Ｐ明朝"/>
        <family val="1"/>
        <charset val="128"/>
      </rPr>
      <t>阻害剤として関節リウマチ、感染症の治療に用いられる。
必須ではないが、</t>
    </r>
    <r>
      <rPr>
        <sz val="11"/>
        <color theme="1"/>
        <rFont val="Times New Roman"/>
        <family val="1"/>
      </rPr>
      <t>Rheumatrex</t>
    </r>
    <r>
      <rPr>
        <sz val="11"/>
        <color theme="1"/>
        <rFont val="ＭＳ Ｐ明朝"/>
        <family val="1"/>
        <charset val="128"/>
      </rPr>
      <t>と併用される事もある。</t>
    </r>
    <rPh sb="3" eb="5">
      <t>ソガイ</t>
    </rPh>
    <rPh sb="5" eb="6">
      <t>ザイ</t>
    </rPh>
    <rPh sb="9" eb="11">
      <t>カンセツ</t>
    </rPh>
    <rPh sb="16" eb="19">
      <t>カンセンショウ</t>
    </rPh>
    <rPh sb="20" eb="22">
      <t>チリョウ</t>
    </rPh>
    <rPh sb="23" eb="24">
      <t>モチ</t>
    </rPh>
    <rPh sb="30" eb="32">
      <t>ヒッス</t>
    </rPh>
    <rPh sb="49" eb="51">
      <t>ヘイヨウ</t>
    </rPh>
    <rPh sb="54" eb="55">
      <t>コト</t>
    </rPh>
    <phoneticPr fontId="17"/>
  </si>
  <si>
    <t>DB00087</t>
    <phoneticPr fontId="3"/>
  </si>
  <si>
    <t>P31358</t>
    <phoneticPr fontId="3"/>
  </si>
  <si>
    <t>CD52</t>
    <phoneticPr fontId="3"/>
  </si>
  <si>
    <t>caspase-independent apoptotic pathway</t>
    <phoneticPr fontId="3"/>
  </si>
  <si>
    <t>caspase-independent apoptotic pathway</t>
    <phoneticPr fontId="3"/>
  </si>
  <si>
    <t>Chronic lymphocytic leukemia (CLL)</t>
    <phoneticPr fontId="3"/>
  </si>
  <si>
    <t>http://www.tandfonline.com/doi/abs/10.1586/14737140.2.1.23</t>
    <phoneticPr fontId="3"/>
  </si>
  <si>
    <r>
      <t>Humira</t>
    </r>
    <r>
      <rPr>
        <sz val="11"/>
        <color theme="1"/>
        <rFont val="ＭＳ Ｐ明朝"/>
        <family val="1"/>
        <charset val="128"/>
      </rPr>
      <t xml:space="preserve">のバイオシミラーである。
</t>
    </r>
    <r>
      <rPr>
        <sz val="11"/>
        <color theme="1"/>
        <rFont val="Times New Roman"/>
        <family val="1"/>
      </rPr>
      <t>TNF</t>
    </r>
    <r>
      <rPr>
        <sz val="11"/>
        <color theme="1"/>
        <rFont val="ＭＳ Ｐ明朝"/>
        <family val="1"/>
        <charset val="128"/>
      </rPr>
      <t>阻害剤として関節リウマチ、感染症の治療に用いられる。</t>
    </r>
    <phoneticPr fontId="3"/>
  </si>
  <si>
    <r>
      <rPr>
        <sz val="11"/>
        <color theme="1"/>
        <rFont val="ＭＳ Ｐ明朝"/>
        <family val="1"/>
        <charset val="128"/>
      </rPr>
      <t>慢性リンパ性白血病（</t>
    </r>
    <r>
      <rPr>
        <sz val="11"/>
        <color theme="1"/>
        <rFont val="Times New Roman"/>
        <family val="1"/>
      </rPr>
      <t>CLL</t>
    </r>
    <r>
      <rPr>
        <sz val="11"/>
        <color theme="1"/>
        <rFont val="ＭＳ Ｐ明朝"/>
        <family val="1"/>
        <charset val="128"/>
      </rPr>
      <t>）の治療薬である。</t>
    </r>
    <rPh sb="0" eb="2">
      <t>マンセイ</t>
    </rPh>
    <rPh sb="5" eb="6">
      <t>セイ</t>
    </rPh>
    <rPh sb="6" eb="9">
      <t>ハッケツビョウ</t>
    </rPh>
    <rPh sb="15" eb="18">
      <t>チリョウヤク</t>
    </rPh>
    <phoneticPr fontId="3"/>
  </si>
  <si>
    <t>DB13140</t>
    <phoneticPr fontId="3"/>
  </si>
  <si>
    <r>
      <t>Clostridium difficile toxin B</t>
    </r>
    <r>
      <rPr>
        <sz val="11"/>
        <color theme="1"/>
        <rFont val="ＭＳ Ｐ明朝"/>
        <family val="1"/>
        <charset val="128"/>
      </rPr>
      <t>感染の再発を軽減する医薬品である。</t>
    </r>
    <rPh sb="29" eb="31">
      <t>カンセン</t>
    </rPh>
    <rPh sb="32" eb="34">
      <t>サイハツ</t>
    </rPh>
    <rPh sb="35" eb="37">
      <t>ケイゲン</t>
    </rPh>
    <rPh sb="39" eb="42">
      <t>イヤクヒン</t>
    </rPh>
    <phoneticPr fontId="3"/>
  </si>
  <si>
    <t>https://www.ncbi.nlm.nih.gov/pubmed/27905086</t>
    <phoneticPr fontId="3"/>
  </si>
  <si>
    <t>Clostridium difficile toxin B</t>
    <phoneticPr fontId="3"/>
  </si>
  <si>
    <t>CD25</t>
    <phoneticPr fontId="3"/>
  </si>
  <si>
    <t>Relapsing-remitting MS (RRMS)</t>
    <phoneticPr fontId="3"/>
  </si>
  <si>
    <t>Cytokine-cytokine receptor interaction, Endocytosis, Jak-STAT signaling pathway, Hematopoietic cell lineage</t>
    <phoneticPr fontId="3"/>
  </si>
  <si>
    <t>https://multiplesclerosisnewstoday.com/zinbryta-for-multiple-sclerosis/</t>
    <phoneticPr fontId="3"/>
  </si>
  <si>
    <r>
      <rPr>
        <sz val="11"/>
        <color theme="1"/>
        <rFont val="ＭＳ Ｐ明朝"/>
        <family val="1"/>
        <charset val="128"/>
      </rPr>
      <t>再発寛解型</t>
    </r>
    <r>
      <rPr>
        <sz val="11"/>
        <color theme="1"/>
        <rFont val="Times New Roman"/>
        <family val="1"/>
      </rPr>
      <t>MS</t>
    </r>
    <r>
      <rPr>
        <sz val="11"/>
        <color theme="1"/>
        <rFont val="ＭＳ Ｐ明朝"/>
        <family val="1"/>
        <charset val="128"/>
      </rPr>
      <t>（</t>
    </r>
    <r>
      <rPr>
        <sz val="11"/>
        <color theme="1"/>
        <rFont val="Times New Roman"/>
        <family val="1"/>
      </rPr>
      <t>RRMS</t>
    </r>
    <r>
      <rPr>
        <sz val="11"/>
        <color theme="1"/>
        <rFont val="ＭＳ Ｐ明朝"/>
        <family val="1"/>
        <charset val="128"/>
      </rPr>
      <t>）の治療薬である。</t>
    </r>
    <r>
      <rPr>
        <sz val="11"/>
        <color theme="1"/>
        <rFont val="Times New Roman"/>
        <family val="1"/>
      </rPr>
      <t xml:space="preserve">
IL-2</t>
    </r>
    <r>
      <rPr>
        <sz val="11"/>
        <color theme="1"/>
        <rFont val="ＭＳ Ｐ明朝"/>
        <family val="1"/>
        <charset val="128"/>
      </rPr>
      <t>受容体の</t>
    </r>
    <r>
      <rPr>
        <sz val="11"/>
        <color theme="1"/>
        <rFont val="Times New Roman"/>
        <family val="1"/>
      </rPr>
      <t>CD25</t>
    </r>
    <r>
      <rPr>
        <sz val="11"/>
        <color theme="1"/>
        <rFont val="ＭＳ Ｐ明朝"/>
        <family val="1"/>
        <charset val="128"/>
      </rPr>
      <t>サブユニットに結合して活性を阻害する。</t>
    </r>
    <rPh sb="14" eb="17">
      <t>チリョウヤク</t>
    </rPh>
    <rPh sb="26" eb="29">
      <t>ジュヨウタイ</t>
    </rPh>
    <rPh sb="41" eb="43">
      <t>ケツゴウ</t>
    </rPh>
    <rPh sb="45" eb="47">
      <t>カッセイ</t>
    </rPh>
    <rPh sb="48" eb="50">
      <t>ソガイ</t>
    </rPh>
    <phoneticPr fontId="3"/>
  </si>
  <si>
    <r>
      <t xml:space="preserve">RANMARK_x000D_
</t>
    </r>
    <r>
      <rPr>
        <sz val="11"/>
        <color theme="1"/>
        <rFont val="ＭＳ Ｐ明朝"/>
        <family val="1"/>
        <charset val="128"/>
      </rPr>
      <t>ランマーク</t>
    </r>
    <phoneticPr fontId="3"/>
  </si>
  <si>
    <t>RANKL</t>
    <phoneticPr fontId="3"/>
  </si>
  <si>
    <t>Cytokine-cytokine receptor interaction, Osteoclast differentiation</t>
    <phoneticPr fontId="3"/>
  </si>
  <si>
    <t>http://medical.nikkeibp.co.jp/leaf/all/series/drug/update/201203/523951.html</t>
    <phoneticPr fontId="3"/>
  </si>
  <si>
    <t>Bone lesion by multiple myeloma, Bone lesion due to solid cancer bone metastasis</t>
    <phoneticPr fontId="3"/>
  </si>
  <si>
    <r>
      <t xml:space="preserve">PROLIA_x000D_
</t>
    </r>
    <r>
      <rPr>
        <sz val="11"/>
        <color theme="1"/>
        <rFont val="ＭＳ Ｐ明朝"/>
        <family val="1"/>
        <charset val="128"/>
      </rPr>
      <t>プラリア</t>
    </r>
    <phoneticPr fontId="3"/>
  </si>
  <si>
    <t>http://www.ema.europa.eu/ema/index.jsp?curl=pages/medicines/human/medicines/001120/human_med_001324.jsp&amp;mid=WC0b01ac058001d124
https://www.drugs.com/prolia.html</t>
    <phoneticPr fontId="3"/>
  </si>
  <si>
    <t>Bone fracture</t>
    <phoneticPr fontId="3"/>
  </si>
  <si>
    <r>
      <rPr>
        <sz val="11"/>
        <color theme="1"/>
        <rFont val="ＭＳ Ｐ明朝"/>
        <family val="1"/>
        <charset val="128"/>
      </rPr>
      <t>骨を壊す細胞である</t>
    </r>
    <r>
      <rPr>
        <sz val="11"/>
        <color theme="1"/>
        <rFont val="Times New Roman"/>
        <family val="1"/>
      </rPr>
      <t>RANK</t>
    </r>
    <r>
      <rPr>
        <sz val="11"/>
        <color theme="1"/>
        <rFont val="ＭＳ Ｐ明朝"/>
        <family val="1"/>
        <charset val="128"/>
      </rPr>
      <t>リガンドを標的とした骨粗鬆症治療薬である。
主に骨折のリスクが高い閉経後の女性に対して用いられる。</t>
    </r>
    <rPh sb="35" eb="36">
      <t>オモ</t>
    </rPh>
    <rPh sb="37" eb="39">
      <t>コッセツ</t>
    </rPh>
    <rPh sb="44" eb="45">
      <t>タカ</t>
    </rPh>
    <rPh sb="46" eb="48">
      <t>ヘイケイ</t>
    </rPh>
    <rPh sb="48" eb="49">
      <t>ゴ</t>
    </rPh>
    <rPh sb="50" eb="52">
      <t>ジョセイ</t>
    </rPh>
    <rPh sb="53" eb="54">
      <t>タイ</t>
    </rPh>
    <rPh sb="56" eb="57">
      <t>モチ</t>
    </rPh>
    <phoneticPr fontId="3"/>
  </si>
  <si>
    <t>http://www.businesswire.com/news/home/20160116005011/en/BENEPALI%c2%ae-Etanercept-Biosimilar-Referencing-Enbrel%c2%ae-Approved-European</t>
    <phoneticPr fontId="3"/>
  </si>
  <si>
    <t>ENBREL</t>
    <phoneticPr fontId="3"/>
  </si>
  <si>
    <t>Moderate to severe rheumatoid arthritis, Psoriatic arthritis, Non-radiographic axial spondyloarthritis, Plaque psoriasis</t>
    <phoneticPr fontId="3"/>
  </si>
  <si>
    <t>TNFα, TNFβ</t>
    <phoneticPr fontId="3"/>
  </si>
  <si>
    <t>Moderate to severe rheumatoid arthritis, Polyarticular juvenile idiopathic arthritis, Psoriatic arthritis, Ankylosing spondylitis</t>
    <phoneticPr fontId="3"/>
  </si>
  <si>
    <r>
      <t>TNF-α</t>
    </r>
    <r>
      <rPr>
        <sz val="11"/>
        <color theme="1"/>
        <rFont val="ＭＳ Ｐ明朝"/>
        <family val="1"/>
        <charset val="128"/>
      </rPr>
      <t>を標的とした、中等度から重度の関節リウマチ、多関節性若年性特発性関節炎、乾癬性関節炎、強直性脊椎炎の治療薬である。
必須ではないが、</t>
    </r>
    <r>
      <rPr>
        <sz val="11"/>
        <color theme="1"/>
        <rFont val="Times New Roman"/>
        <family val="1"/>
      </rPr>
      <t>Rheumatrex</t>
    </r>
    <r>
      <rPr>
        <sz val="11"/>
        <color theme="1"/>
        <rFont val="ＭＳ Ｐ明朝"/>
        <family val="1"/>
        <charset val="128"/>
      </rPr>
      <t xml:space="preserve">と併用される事もある。
</t>
    </r>
    <r>
      <rPr>
        <sz val="11"/>
        <color theme="1"/>
        <rFont val="Times New Roman"/>
        <family val="1"/>
      </rPr>
      <t>abatacept</t>
    </r>
    <r>
      <rPr>
        <sz val="11"/>
        <color theme="1"/>
        <rFont val="ＭＳ Ｐ明朝"/>
        <family val="1"/>
        <charset val="128"/>
      </rPr>
      <t>との併用はできない。</t>
    </r>
    <rPh sb="6" eb="8">
      <t>ヒョウテキ</t>
    </rPh>
    <rPh sb="55" eb="58">
      <t>チリョウヤク</t>
    </rPh>
    <rPh sb="63" eb="65">
      <t>ヒッス</t>
    </rPh>
    <rPh sb="82" eb="84">
      <t>ヘイヨウ</t>
    </rPh>
    <rPh sb="87" eb="88">
      <t>コト</t>
    </rPh>
    <rPh sb="104" eb="106">
      <t>ヘイヨウ</t>
    </rPh>
    <phoneticPr fontId="17"/>
  </si>
  <si>
    <t>http://www.fda.gov/NewsEvents/Newsroom/PressAnnouncements/ucm518639.htm</t>
    <phoneticPr fontId="3"/>
  </si>
  <si>
    <t>Moderate to severe rheumatoid arthritis, Polyarticular juvenile idiopathic arthritis, Psoriatic arthritis, Ankylosing spondylitis, Plaque psoriasis</t>
    <phoneticPr fontId="3"/>
  </si>
  <si>
    <r>
      <t>ENBREL</t>
    </r>
    <r>
      <rPr>
        <sz val="11"/>
        <color theme="1"/>
        <rFont val="ＭＳ Ｐ明朝"/>
        <family val="1"/>
        <charset val="128"/>
      </rPr>
      <t>のバイオシミラーである。
中等度から重度の関節リウマチ、多関節性若年性特発性関節炎、乾癬性関節炎、強直性脊椎炎、プラーク乾癬の治療薬である。</t>
    </r>
    <rPh sb="19" eb="21">
      <t>チュウトウ</t>
    </rPh>
    <rPh sb="21" eb="22">
      <t>ド</t>
    </rPh>
    <rPh sb="24" eb="26">
      <t>ジュウド</t>
    </rPh>
    <rPh sb="27" eb="29">
      <t>カンセツ</t>
    </rPh>
    <rPh sb="34" eb="35">
      <t>タ</t>
    </rPh>
    <rPh sb="35" eb="37">
      <t>カンセツ</t>
    </rPh>
    <rPh sb="37" eb="38">
      <t>セイ</t>
    </rPh>
    <rPh sb="38" eb="41">
      <t>ジャクネンセイ</t>
    </rPh>
    <rPh sb="41" eb="44">
      <t>トクハツセイ</t>
    </rPh>
    <rPh sb="44" eb="47">
      <t>カンセツエン</t>
    </rPh>
    <rPh sb="48" eb="50">
      <t>カンセン</t>
    </rPh>
    <rPh sb="50" eb="51">
      <t>セイ</t>
    </rPh>
    <rPh sb="51" eb="53">
      <t>カンセツ</t>
    </rPh>
    <rPh sb="53" eb="54">
      <t>エン</t>
    </rPh>
    <rPh sb="55" eb="58">
      <t>キョウチョクセイ</t>
    </rPh>
    <rPh sb="58" eb="60">
      <t>セキツイ</t>
    </rPh>
    <rPh sb="60" eb="61">
      <t>エン</t>
    </rPh>
    <rPh sb="66" eb="68">
      <t>カンセン</t>
    </rPh>
    <rPh sb="69" eb="71">
      <t>チリョウ</t>
    </rPh>
    <rPh sb="71" eb="72">
      <t>ヤク</t>
    </rPh>
    <phoneticPr fontId="3"/>
  </si>
  <si>
    <r>
      <t>ENBREL</t>
    </r>
    <r>
      <rPr>
        <sz val="11"/>
        <color theme="1"/>
        <rFont val="ＭＳ Ｐ明朝"/>
        <family val="1"/>
        <charset val="128"/>
      </rPr>
      <t>のバイオシミラーである。
成人の中等度から重度の関節リウマチ、乾癬性関節炎、非放射線学的軸性脊椎関節炎およびプラーク乾癬の治療薬である。</t>
    </r>
    <rPh sb="19" eb="21">
      <t>セイジン</t>
    </rPh>
    <rPh sb="67" eb="69">
      <t>チリョウ</t>
    </rPh>
    <rPh sb="69" eb="70">
      <t>ヤク</t>
    </rPh>
    <phoneticPr fontId="3"/>
  </si>
  <si>
    <t>TNFα</t>
    <phoneticPr fontId="3"/>
  </si>
  <si>
    <t>MAPK signaling pathway, Cytokine-cytokine receptor interaction, TGF-beta signaling pathway, Fc epsilon RI signaling pathway, Adipocytokine signaling pathway, Asthma, Rheumatoid arthritis</t>
    <phoneticPr fontId="3"/>
  </si>
  <si>
    <t>MAPK signaling pathway, Cytokine-cytokine receptor interaction, TGF-beta signaling pathway, Fc epsilon RI signaling pathway, Adipocytokine signaling pathway, Asthma, Rheumatoid arthritis</t>
    <phoneticPr fontId="3"/>
  </si>
  <si>
    <t>https://www.drugs.com/pro/simponi-aria.html
http://www.webmd.com/drugs/2/drug-164798/simponi-aria-intravenous/details</t>
    <phoneticPr fontId="3"/>
  </si>
  <si>
    <r>
      <t>SIMPONI</t>
    </r>
    <r>
      <rPr>
        <sz val="11"/>
        <color theme="1"/>
        <rFont val="ＭＳ Ｐ明朝"/>
        <family val="1"/>
        <charset val="128"/>
      </rPr>
      <t>の静脈内注射タイプの医薬品で、関節リウマチの治療薬として用いられる。</t>
    </r>
    <rPh sb="8" eb="10">
      <t>ジョウミャク</t>
    </rPh>
    <rPh sb="10" eb="11">
      <t>ナイ</t>
    </rPh>
    <rPh sb="11" eb="13">
      <t>チュウシャ</t>
    </rPh>
    <rPh sb="17" eb="20">
      <t>イヤクヒン</t>
    </rPh>
    <rPh sb="22" eb="24">
      <t>カンセツ</t>
    </rPh>
    <rPh sb="29" eb="32">
      <t>チリョウヤク</t>
    </rPh>
    <rPh sb="35" eb="36">
      <t>モチ</t>
    </rPh>
    <phoneticPr fontId="3"/>
  </si>
  <si>
    <t>Diagnosis of Lung cancer, Gastrointestinal, breast, Ovary, Pancreas, Kidney, Cervix, Bladder carcinoma</t>
    <phoneticPr fontId="3"/>
  </si>
  <si>
    <t>human MS4A1</t>
    <phoneticPr fontId="3"/>
  </si>
  <si>
    <t>http://www.creative-biolabs.com/Anti-MS4A1%20Therapeutic%20Antibody%20(VERLUMA)_604_6.htm</t>
    <phoneticPr fontId="3"/>
  </si>
  <si>
    <t>他の抗悪性腫瘍剤、（手術不能または再発乳がんの場合）paclitaxel</t>
    <rPh sb="0" eb="1">
      <t>タ</t>
    </rPh>
    <rPh sb="2" eb="3">
      <t>コウ</t>
    </rPh>
    <rPh sb="3" eb="5">
      <t>アクセイ</t>
    </rPh>
    <rPh sb="5" eb="7">
      <t>シュヨウ</t>
    </rPh>
    <rPh sb="7" eb="8">
      <t>ザイ</t>
    </rPh>
    <rPh sb="10" eb="12">
      <t>シュジュツ</t>
    </rPh>
    <rPh sb="12" eb="14">
      <t>フノウ</t>
    </rPh>
    <rPh sb="17" eb="19">
      <t>サイハツ</t>
    </rPh>
    <rPh sb="23" eb="25">
      <t>バアイ</t>
    </rPh>
    <phoneticPr fontId="17"/>
  </si>
  <si>
    <t>かつて、上皮性卵巣がん患者の局所領域治療薬として開発が進められていた。
第2相試験で、生存期間、及びがんの再発時間を延長する効果が見られなかったため、開発が中止された。</t>
    <rPh sb="20" eb="21">
      <t>ヤク</t>
    </rPh>
    <rPh sb="24" eb="26">
      <t>カイハツ</t>
    </rPh>
    <rPh sb="27" eb="28">
      <t>スス</t>
    </rPh>
    <rPh sb="36" eb="37">
      <t>ダイ</t>
    </rPh>
    <rPh sb="38" eb="39">
      <t>ソウ</t>
    </rPh>
    <rPh sb="39" eb="41">
      <t>シケン</t>
    </rPh>
    <rPh sb="43" eb="45">
      <t>セイゾン</t>
    </rPh>
    <rPh sb="45" eb="47">
      <t>キカン</t>
    </rPh>
    <rPh sb="48" eb="49">
      <t>オヨ</t>
    </rPh>
    <rPh sb="55" eb="57">
      <t>ジカン</t>
    </rPh>
    <rPh sb="62" eb="64">
      <t>コウカ</t>
    </rPh>
    <rPh sb="65" eb="66">
      <t>ミ</t>
    </rPh>
    <rPh sb="75" eb="77">
      <t>カイハツ</t>
    </rPh>
    <rPh sb="78" eb="80">
      <t>チュウシ</t>
    </rPh>
    <phoneticPr fontId="17"/>
  </si>
  <si>
    <t>乳がんおよび黒色腫患者が疑われる患者に対し、イメージング手段として用いられる。
使用前に99mTcで標識する。</t>
  </si>
  <si>
    <t>http://www.anthim.com/</t>
    <phoneticPr fontId="3"/>
  </si>
  <si>
    <t>Inhalational anthrax due to Bacillus anthracis</t>
    <phoneticPr fontId="3"/>
  </si>
  <si>
    <t>LARTRUVO</t>
    <phoneticPr fontId="3"/>
  </si>
  <si>
    <t>https://www.drugs.com/pro/lartruvo.html
https://www.mixonline.jp/Article/tabid/55/artid/54740/Default.aspx</t>
    <phoneticPr fontId="3"/>
  </si>
  <si>
    <t>olaratumab</t>
    <phoneticPr fontId="3"/>
  </si>
  <si>
    <t>doxorubicin</t>
    <phoneticPr fontId="3"/>
  </si>
  <si>
    <t xml:space="preserve">Soft Tissue Sarcoma </t>
    <phoneticPr fontId="3"/>
  </si>
  <si>
    <r>
      <rPr>
        <sz val="11"/>
        <color theme="1"/>
        <rFont val="ＭＳ Ｐ明朝"/>
        <family val="1"/>
        <charset val="128"/>
      </rPr>
      <t>多発性骨髄腫による骨病変、固形がん骨転移による骨病変の治療薬である。</t>
    </r>
  </si>
  <si>
    <r>
      <rPr>
        <sz val="11"/>
        <color theme="1"/>
        <rFont val="ＭＳ Ｐ明朝"/>
        <family val="1"/>
        <charset val="128"/>
      </rPr>
      <t>がんの診断に用いられるマウスモノクローナル抗体である。</t>
    </r>
  </si>
  <si>
    <r>
      <rPr>
        <sz val="11"/>
        <color theme="1"/>
        <rFont val="ＭＳ Ｐ明朝"/>
        <family val="1"/>
        <charset val="128"/>
      </rPr>
      <t>炭疽菌による吸入炭疽の治療に用いられる医薬品である。</t>
    </r>
    <rPh sb="14" eb="15">
      <t>モチ</t>
    </rPh>
    <rPh sb="19" eb="22">
      <t>イヤクヒン</t>
    </rPh>
    <phoneticPr fontId="3"/>
  </si>
  <si>
    <t>PDGFRα</t>
    <phoneticPr fontId="3"/>
  </si>
  <si>
    <r>
      <rPr>
        <sz val="11"/>
        <color theme="1"/>
        <rFont val="ＭＳ Ｐ明朝"/>
        <family val="1"/>
        <charset val="128"/>
      </rPr>
      <t>成人における軟部組織肉腫（</t>
    </r>
    <r>
      <rPr>
        <sz val="11"/>
        <color theme="1"/>
        <rFont val="Times New Roman"/>
        <family val="1"/>
      </rPr>
      <t>STS</t>
    </r>
    <r>
      <rPr>
        <sz val="11"/>
        <color theme="1"/>
        <rFont val="ＭＳ Ｐ明朝"/>
        <family val="1"/>
        <charset val="128"/>
      </rPr>
      <t xml:space="preserve">）の治療薬である。
</t>
    </r>
    <r>
      <rPr>
        <sz val="11"/>
        <color theme="1"/>
        <rFont val="Times New Roman"/>
        <family val="1"/>
      </rPr>
      <t>Platelet-derived growth factor receptor</t>
    </r>
    <r>
      <rPr>
        <sz val="11"/>
        <color theme="1"/>
        <rFont val="ＭＳ Ｐ明朝"/>
        <family val="1"/>
        <charset val="128"/>
      </rPr>
      <t>（血小板由来成長因子）αのはたらきを阻害する。
使用にあたっては化学療法剤</t>
    </r>
    <r>
      <rPr>
        <sz val="11"/>
        <color theme="1"/>
        <rFont val="Times New Roman"/>
        <family val="1"/>
      </rPr>
      <t>doxorubicin</t>
    </r>
    <r>
      <rPr>
        <sz val="11"/>
        <color theme="1"/>
        <rFont val="ＭＳ Ｐ明朝"/>
        <family val="1"/>
        <charset val="128"/>
      </rPr>
      <t>と併用される。</t>
    </r>
    <rPh sb="83" eb="85">
      <t>ソガイ</t>
    </rPh>
    <rPh sb="89" eb="91">
      <t>シヨウ</t>
    </rPh>
    <phoneticPr fontId="3"/>
  </si>
  <si>
    <t>RITUXAN, MabTHERA
リツキサン</t>
  </si>
  <si>
    <t>J06BB21</t>
  </si>
  <si>
    <t>J06BC01</t>
  </si>
  <si>
    <t>L01XC26</t>
  </si>
  <si>
    <t>L04AA35</t>
  </si>
  <si>
    <t>L04AA36</t>
  </si>
  <si>
    <t>L04AC13</t>
  </si>
  <si>
    <t>R03DX09</t>
  </si>
  <si>
    <t>V09GX02</t>
  </si>
  <si>
    <t>V09IA04</t>
  </si>
  <si>
    <t>V09G</t>
  </si>
  <si>
    <r>
      <t xml:space="preserve">CAMPATH (MabCAMPATH)
</t>
    </r>
    <r>
      <rPr>
        <sz val="11"/>
        <color theme="1"/>
        <rFont val="ＭＳ Ｐ明朝"/>
        <family val="1"/>
        <charset val="128"/>
      </rPr>
      <t>マブキャンパス</t>
    </r>
    <phoneticPr fontId="3"/>
  </si>
  <si>
    <t>DB09302</t>
    <phoneticPr fontId="3"/>
  </si>
  <si>
    <t>DB00051</t>
    <phoneticPr fontId="3"/>
  </si>
  <si>
    <t>DB11595</t>
    <phoneticPr fontId="3"/>
  </si>
  <si>
    <t>DB09264</t>
    <phoneticPr fontId="3"/>
  </si>
  <si>
    <t>P11836</t>
    <phoneticPr fontId="3"/>
  </si>
  <si>
    <t>P11836</t>
    <phoneticPr fontId="3"/>
  </si>
  <si>
    <r>
      <t xml:space="preserve">ixekizumab_x000D_
</t>
    </r>
    <r>
      <rPr>
        <sz val="11"/>
        <color theme="1"/>
        <rFont val="ＭＳ Ｐ明朝"/>
        <family val="1"/>
        <charset val="128"/>
      </rPr>
      <t>イキセキズマブ</t>
    </r>
    <phoneticPr fontId="3"/>
  </si>
  <si>
    <t>DB11569</t>
    <phoneticPr fontId="3"/>
  </si>
  <si>
    <t>Q16552</t>
    <phoneticPr fontId="3"/>
  </si>
  <si>
    <t>AD</t>
    <phoneticPr fontId="3"/>
  </si>
  <si>
    <t>関節症性乾癬、関節リウマチ、硬直性脊髄炎の治療薬である。</t>
    <phoneticPr fontId="3"/>
  </si>
  <si>
    <t>FLIXABI</t>
    <phoneticPr fontId="3"/>
  </si>
  <si>
    <t>Rheumatoid arthritis, Crohn’s disease, Ulcerative colitis, Ankylosing spondylitis, Psoriatic arthritis, Psoriasis</t>
  </si>
  <si>
    <t>Rheumatoid arthritis, Crohn’s disease, Ulcerative colitis, Ankylosing spondylitis, Psoriatic arthritis, Psoriasis</t>
    <phoneticPr fontId="3"/>
  </si>
  <si>
    <r>
      <t>Remicade</t>
    </r>
    <r>
      <rPr>
        <sz val="11"/>
        <color theme="1"/>
        <rFont val="ＭＳ Ｐ明朝"/>
        <family val="1"/>
        <charset val="128"/>
      </rPr>
      <t>のバイオシミラーである。
抗炎症薬として、関節リウマチ、クローン病、潰瘍性大腸炎、強直性脊髄炎、乾癬性関節炎、乾癬の治療に用いられる。
使用の際には、</t>
    </r>
    <r>
      <rPr>
        <sz val="11"/>
        <color theme="1"/>
        <rFont val="Times New Roman"/>
        <family val="1"/>
      </rPr>
      <t>Methotrexate</t>
    </r>
    <r>
      <rPr>
        <sz val="11"/>
        <color theme="1"/>
        <rFont val="ＭＳ Ｐ明朝"/>
        <family val="1"/>
        <charset val="128"/>
      </rPr>
      <t>（</t>
    </r>
    <r>
      <rPr>
        <sz val="11"/>
        <color theme="1"/>
        <rFont val="Times New Roman"/>
        <family val="1"/>
      </rPr>
      <t>MTX</t>
    </r>
    <r>
      <rPr>
        <sz val="11"/>
        <color theme="1"/>
        <rFont val="ＭＳ Ｐ明朝"/>
        <family val="1"/>
        <charset val="128"/>
      </rPr>
      <t>）と併用される。</t>
    </r>
    <rPh sb="79" eb="80">
      <t>サイ</t>
    </rPh>
    <phoneticPr fontId="3"/>
  </si>
  <si>
    <t>Methotrexate</t>
  </si>
  <si>
    <t>http://www.ema.europa.eu/ema/index.jsp?curl=pages/medicines/human/medicines/004020/human_med_001980.jsp&amp;mid=WC0b01ac058001d124</t>
    <phoneticPr fontId="3"/>
  </si>
  <si>
    <t>infliximab</t>
    <phoneticPr fontId="3"/>
  </si>
  <si>
    <r>
      <rPr>
        <sz val="11"/>
        <color theme="1"/>
        <rFont val="ＭＳ Ｐ明朝"/>
        <family val="1"/>
        <charset val="128"/>
      </rPr>
      <t>関節リウマチ、クローン病、潰瘍性大腸炎、強直性脊髄炎、乾癬性関節炎、乾癬の治療に用いられる。
使用の際には、</t>
    </r>
    <r>
      <rPr>
        <sz val="11"/>
        <color theme="1"/>
        <rFont val="Times New Roman"/>
        <family val="1"/>
      </rPr>
      <t>Rheumatrex</t>
    </r>
    <r>
      <rPr>
        <sz val="11"/>
        <color theme="1"/>
        <rFont val="ＭＳ Ｐ明朝"/>
        <family val="1"/>
        <charset val="128"/>
      </rPr>
      <t>と併用される。</t>
    </r>
    <rPh sb="50" eb="51">
      <t>サイ</t>
    </rPh>
    <phoneticPr fontId="3"/>
  </si>
  <si>
    <t>http://www.ncbi.nlm.nih.gov/pmc/articles/PMC2727775/
http://www.aetna.com/cpb/medical/data/300_399/0341.html
http://www.rheuma-net.or.jp/rheuma/rm400/rm400_chiryo_seibutsugakutekiseizai.html
http://www.ema.europa.eu/ema/index.jsp?curl=pages/medicines/human/medicines/000240/human_med_001023.jsp&amp;mid=WC0b01ac058001d124</t>
    <phoneticPr fontId="3"/>
  </si>
  <si>
    <t>http://www.ema.europa.eu/ema/index.jsp?curl=pages/medicines/human/medicines/002576/human_med_001682.jsp&amp;mid=WC0b01ac058001d124</t>
    <phoneticPr fontId="3"/>
  </si>
  <si>
    <r>
      <t xml:space="preserve">INFLECTRA_x000D_
</t>
    </r>
    <r>
      <rPr>
        <sz val="11"/>
        <color theme="1"/>
        <rFont val="ＭＳ Ｐ明朝"/>
        <family val="1"/>
        <charset val="128"/>
      </rPr>
      <t>インフレクトラ</t>
    </r>
    <phoneticPr fontId="3"/>
  </si>
  <si>
    <t>http://www.ema.europa.eu/ema/index.jsp?curl=pages/medicines/human/medicines/002778/human_med_001677.jsp&amp;mid=WC0b01ac058001d124</t>
    <phoneticPr fontId="3"/>
  </si>
  <si>
    <t>1996/7/3
W</t>
    <phoneticPr fontId="3"/>
  </si>
  <si>
    <t>http://www.accessdata.fda.gov/drugsatfda_docs/label/1996/imcicen070396-lab.pdf
https://www.pharmacodia.com/yaodu/html/v1/biologics/b7046757c3682a28c5bf2024e57678a0.html</t>
    <phoneticPr fontId="3"/>
  </si>
  <si>
    <t>(Cardiac imaging)</t>
    <phoneticPr fontId="3"/>
  </si>
  <si>
    <t>かつて心臓のイメージングに用いられていた。
心筋細胞および骨格筋細胞に存在するミオシンの重鎖に結合する。</t>
    <rPh sb="3" eb="5">
      <t>シンゾウ</t>
    </rPh>
    <rPh sb="13" eb="14">
      <t>モチ</t>
    </rPh>
    <rPh sb="35" eb="37">
      <t>ソンザイ</t>
    </rPh>
    <rPh sb="44" eb="45">
      <t>ジュウ</t>
    </rPh>
    <rPh sb="45" eb="46">
      <t>サ</t>
    </rPh>
    <rPh sb="47" eb="49">
      <t>ケツゴウ</t>
    </rPh>
    <phoneticPr fontId="3"/>
  </si>
  <si>
    <t>Myosin</t>
    <phoneticPr fontId="3"/>
  </si>
  <si>
    <t>黄斑浮腫および近視脈絡膜血管新生を阻害する事で、加齢黄斑変性、及び網膜中心静脈閉塞症を治癒する。</t>
  </si>
  <si>
    <r>
      <t xml:space="preserve">evolocumab_x000D_
</t>
    </r>
    <r>
      <rPr>
        <sz val="9"/>
        <color theme="1"/>
        <rFont val="ＭＳ Ｐ明朝"/>
        <family val="1"/>
        <charset val="128"/>
      </rPr>
      <t>エボロクマブ</t>
    </r>
  </si>
  <si>
    <r>
      <t xml:space="preserve">REPATHA_x000D_
</t>
    </r>
    <r>
      <rPr>
        <sz val="9"/>
        <color theme="1"/>
        <rFont val="ＭＳ Ｐ明朝"/>
        <family val="1"/>
        <charset val="128"/>
      </rPr>
      <t>レパーサ</t>
    </r>
  </si>
  <si>
    <r>
      <t xml:space="preserve">alirocumab_x000D_
</t>
    </r>
    <r>
      <rPr>
        <sz val="9"/>
        <color theme="1"/>
        <rFont val="ＭＳ Ｐ明朝"/>
        <family val="1"/>
        <charset val="128"/>
      </rPr>
      <t>アリロクマブ</t>
    </r>
  </si>
  <si>
    <r>
      <t xml:space="preserve">PRALUENT_x000D_
</t>
    </r>
    <r>
      <rPr>
        <sz val="9"/>
        <color theme="1"/>
        <rFont val="ＭＳ Ｐ明朝"/>
        <family val="1"/>
        <charset val="128"/>
      </rPr>
      <t>プラルエント</t>
    </r>
  </si>
  <si>
    <r>
      <t xml:space="preserve">palivizumab_x000D_
</t>
    </r>
    <r>
      <rPr>
        <sz val="9"/>
        <color theme="1"/>
        <rFont val="ＭＳ Ｐ明朝"/>
        <family val="1"/>
        <charset val="128"/>
      </rPr>
      <t>パリビズマブ</t>
    </r>
  </si>
  <si>
    <r>
      <t xml:space="preserve">SYNAGIS_x000D_
</t>
    </r>
    <r>
      <rPr>
        <sz val="9"/>
        <color theme="1"/>
        <rFont val="ＭＳ Ｐ明朝"/>
        <family val="1"/>
        <charset val="128"/>
      </rPr>
      <t>シナジス</t>
    </r>
  </si>
  <si>
    <r>
      <t xml:space="preserve">rituximab_x000D_
</t>
    </r>
    <r>
      <rPr>
        <sz val="9"/>
        <color theme="1"/>
        <rFont val="ＭＳ Ｐ明朝"/>
        <family val="1"/>
        <charset val="128"/>
      </rPr>
      <t>リツキシマブ</t>
    </r>
  </si>
  <si>
    <r>
      <t xml:space="preserve">trastuzumab_x000D_
</t>
    </r>
    <r>
      <rPr>
        <sz val="9"/>
        <color theme="1"/>
        <rFont val="ＭＳ Ｐ明朝"/>
        <family val="1"/>
        <charset val="128"/>
      </rPr>
      <t>トラスツズマブ</t>
    </r>
  </si>
  <si>
    <r>
      <t xml:space="preserve">HERCEPTIN_x000D_
</t>
    </r>
    <r>
      <rPr>
        <sz val="9"/>
        <color theme="1"/>
        <rFont val="ＭＳ Ｐ明朝"/>
        <family val="1"/>
        <charset val="128"/>
      </rPr>
      <t>ハーセプチン</t>
    </r>
  </si>
  <si>
    <r>
      <t xml:space="preserve">gemtuzumab ozogamicin_x000D_
</t>
    </r>
    <r>
      <rPr>
        <sz val="9"/>
        <color theme="1"/>
        <rFont val="ＭＳ Ｐ明朝"/>
        <family val="1"/>
        <charset val="128"/>
      </rPr>
      <t>ゲムツズマブオゾガマイシン</t>
    </r>
  </si>
  <si>
    <r>
      <t xml:space="preserve">MYLOTARG_x000D_
</t>
    </r>
    <r>
      <rPr>
        <sz val="9"/>
        <color theme="1"/>
        <rFont val="ＭＳ Ｐ明朝"/>
        <family val="1"/>
        <charset val="128"/>
      </rPr>
      <t>マイロターグ</t>
    </r>
  </si>
  <si>
    <r>
      <t xml:space="preserve">cetuximab_x000D_
</t>
    </r>
    <r>
      <rPr>
        <sz val="9"/>
        <color theme="1"/>
        <rFont val="ＭＳ Ｐ明朝"/>
        <family val="1"/>
        <charset val="128"/>
      </rPr>
      <t>セツキシマブ</t>
    </r>
  </si>
  <si>
    <r>
      <t xml:space="preserve">ERBITUX_x000D_
</t>
    </r>
    <r>
      <rPr>
        <sz val="9"/>
        <color theme="1"/>
        <rFont val="ＭＳ Ｐ明朝"/>
        <family val="1"/>
        <charset val="128"/>
      </rPr>
      <t>アービタックス</t>
    </r>
  </si>
  <si>
    <r>
      <t xml:space="preserve">bevacizumab_x000D_
</t>
    </r>
    <r>
      <rPr>
        <sz val="9"/>
        <color theme="1"/>
        <rFont val="ＭＳ Ｐ明朝"/>
        <family val="1"/>
        <charset val="128"/>
      </rPr>
      <t>ベバシズマブ</t>
    </r>
  </si>
  <si>
    <r>
      <t xml:space="preserve">AVASTIN_x000D_
</t>
    </r>
    <r>
      <rPr>
        <sz val="9"/>
        <color theme="1"/>
        <rFont val="ＭＳ Ｐ明朝"/>
        <family val="1"/>
        <charset val="128"/>
      </rPr>
      <t>アバスチン</t>
    </r>
  </si>
  <si>
    <r>
      <t xml:space="preserve">panitumumab_x000D_
</t>
    </r>
    <r>
      <rPr>
        <sz val="9"/>
        <color theme="1"/>
        <rFont val="ＭＳ Ｐ明朝"/>
        <family val="1"/>
        <charset val="128"/>
      </rPr>
      <t>パニツムマブ</t>
    </r>
  </si>
  <si>
    <r>
      <t xml:space="preserve">VECTIBIX_x000D_
</t>
    </r>
    <r>
      <rPr>
        <sz val="9"/>
        <color theme="1"/>
        <rFont val="ＭＳ Ｐ明朝"/>
        <family val="1"/>
        <charset val="128"/>
      </rPr>
      <t>ベクティビックス</t>
    </r>
  </si>
  <si>
    <r>
      <t xml:space="preserve">ofatumumab_x000D_
</t>
    </r>
    <r>
      <rPr>
        <sz val="9"/>
        <color theme="1"/>
        <rFont val="ＭＳ Ｐ明朝"/>
        <family val="1"/>
        <charset val="128"/>
      </rPr>
      <t>オファツムマブ</t>
    </r>
  </si>
  <si>
    <r>
      <t xml:space="preserve">ARZERRA_x000D_
</t>
    </r>
    <r>
      <rPr>
        <sz val="9"/>
        <color theme="1"/>
        <rFont val="ＭＳ Ｐ明朝"/>
        <family val="1"/>
        <charset val="128"/>
      </rPr>
      <t>アーゼラ</t>
    </r>
  </si>
  <si>
    <r>
      <t xml:space="preserve">ipilimumab_x000D_
</t>
    </r>
    <r>
      <rPr>
        <sz val="9"/>
        <color theme="1"/>
        <rFont val="ＭＳ Ｐ明朝"/>
        <family val="1"/>
        <charset val="128"/>
      </rPr>
      <t>イピリムマブ</t>
    </r>
  </si>
  <si>
    <r>
      <t xml:space="preserve">YERVOY_x000D_
</t>
    </r>
    <r>
      <rPr>
        <sz val="9"/>
        <color theme="1"/>
        <rFont val="ＭＳ Ｐ明朝"/>
        <family val="1"/>
        <charset val="128"/>
      </rPr>
      <t>ヤーボイ</t>
    </r>
  </si>
  <si>
    <r>
      <t xml:space="preserve">brentuximab vedotin_x000D_
</t>
    </r>
    <r>
      <rPr>
        <sz val="9"/>
        <color theme="1"/>
        <rFont val="ＭＳ Ｐ明朝"/>
        <family val="1"/>
        <charset val="128"/>
      </rPr>
      <t>ブレンツキシマブ　ベドチン</t>
    </r>
  </si>
  <si>
    <r>
      <t xml:space="preserve">ADCETRIS_x000D_
</t>
    </r>
    <r>
      <rPr>
        <sz val="9"/>
        <color theme="1"/>
        <rFont val="ＭＳ Ｐ明朝"/>
        <family val="1"/>
        <charset val="128"/>
      </rPr>
      <t>アドセトリス</t>
    </r>
  </si>
  <si>
    <r>
      <t xml:space="preserve">pertuzumab_x000D_
</t>
    </r>
    <r>
      <rPr>
        <sz val="9"/>
        <color theme="1"/>
        <rFont val="ＭＳ Ｐ明朝"/>
        <family val="1"/>
        <charset val="128"/>
      </rPr>
      <t>ペルツズマブ</t>
    </r>
  </si>
  <si>
    <r>
      <t xml:space="preserve">PERJETA_x000D_
</t>
    </r>
    <r>
      <rPr>
        <sz val="9"/>
        <color theme="1"/>
        <rFont val="ＭＳ Ｐ明朝"/>
        <family val="1"/>
        <charset val="128"/>
      </rPr>
      <t>パージェタ</t>
    </r>
  </si>
  <si>
    <r>
      <t xml:space="preserve">trastuzumab emtansine_x000D_
</t>
    </r>
    <r>
      <rPr>
        <sz val="9"/>
        <color theme="1"/>
        <rFont val="ＭＳ Ｐ明朝"/>
        <family val="1"/>
        <charset val="128"/>
      </rPr>
      <t>トラスツズマブ　エムタンシン</t>
    </r>
  </si>
  <si>
    <r>
      <t xml:space="preserve">KADCYLA_x000D_
</t>
    </r>
    <r>
      <rPr>
        <sz val="9"/>
        <color theme="1"/>
        <rFont val="ＭＳ Ｐ明朝"/>
        <family val="1"/>
        <charset val="128"/>
      </rPr>
      <t>カドサイラ</t>
    </r>
  </si>
  <si>
    <r>
      <t xml:space="preserve">nivolumab_x000D_
</t>
    </r>
    <r>
      <rPr>
        <sz val="9"/>
        <color theme="1"/>
        <rFont val="ＭＳ Ｐ明朝"/>
        <family val="1"/>
        <charset val="128"/>
      </rPr>
      <t>ニボルマブ</t>
    </r>
  </si>
  <si>
    <r>
      <t xml:space="preserve">OPDIVO_x000D_
</t>
    </r>
    <r>
      <rPr>
        <sz val="9"/>
        <color theme="1"/>
        <rFont val="ＭＳ Ｐ明朝"/>
        <family val="1"/>
        <charset val="128"/>
      </rPr>
      <t>オプジーボ</t>
    </r>
  </si>
  <si>
    <r>
      <t xml:space="preserve">pembrolizumab_x000D_
</t>
    </r>
    <r>
      <rPr>
        <sz val="9"/>
        <color theme="1"/>
        <rFont val="ＭＳ Ｐ明朝"/>
        <family val="1"/>
        <charset val="128"/>
      </rPr>
      <t>ペムブロリズマブ</t>
    </r>
  </si>
  <si>
    <r>
      <t xml:space="preserve">KEYTRUDA_x000D_
</t>
    </r>
    <r>
      <rPr>
        <sz val="9"/>
        <color theme="1"/>
        <rFont val="ＭＳ Ｐ明朝"/>
        <family val="1"/>
        <charset val="128"/>
      </rPr>
      <t>キイトルーダ</t>
    </r>
  </si>
  <si>
    <r>
      <t xml:space="preserve">ramucirumab_x000D_
</t>
    </r>
    <r>
      <rPr>
        <sz val="9"/>
        <color theme="1"/>
        <rFont val="ＭＳ Ｐ明朝"/>
        <family val="1"/>
        <charset val="128"/>
      </rPr>
      <t>ラムシルマブ</t>
    </r>
  </si>
  <si>
    <r>
      <t xml:space="preserve">CYRAMZA_x000D_
</t>
    </r>
    <r>
      <rPr>
        <sz val="9"/>
        <color theme="1"/>
        <rFont val="ＭＳ Ｐ明朝"/>
        <family val="1"/>
        <charset val="128"/>
      </rPr>
      <t>サイラムザ</t>
    </r>
  </si>
  <si>
    <r>
      <t xml:space="preserve">elotuzumab_x000D_
</t>
    </r>
    <r>
      <rPr>
        <sz val="9"/>
        <color theme="1"/>
        <rFont val="ＭＳ Ｐ明朝"/>
        <family val="1"/>
        <charset val="128"/>
      </rPr>
      <t>エロツズマブ</t>
    </r>
  </si>
  <si>
    <r>
      <t xml:space="preserve">EMPLICITI_x000D_
</t>
    </r>
    <r>
      <rPr>
        <sz val="9"/>
        <color theme="1"/>
        <rFont val="ＭＳ Ｐ明朝"/>
        <family val="1"/>
        <charset val="128"/>
      </rPr>
      <t>エムプリシティ</t>
    </r>
  </si>
  <si>
    <r>
      <t xml:space="preserve">mogamulizumab_x000D_
</t>
    </r>
    <r>
      <rPr>
        <sz val="9"/>
        <color theme="1"/>
        <rFont val="ＭＳ Ｐ明朝"/>
        <family val="1"/>
        <charset val="128"/>
      </rPr>
      <t>モガムリズマブ</t>
    </r>
  </si>
  <si>
    <r>
      <t xml:space="preserve">POTELIGEO_x000D_
</t>
    </r>
    <r>
      <rPr>
        <sz val="9"/>
        <color theme="1"/>
        <rFont val="ＭＳ Ｐ明朝"/>
        <family val="1"/>
        <charset val="128"/>
      </rPr>
      <t>ポテリジオ</t>
    </r>
  </si>
  <si>
    <r>
      <t xml:space="preserve">natalizumab_x000D_
</t>
    </r>
    <r>
      <rPr>
        <sz val="9"/>
        <color theme="1"/>
        <rFont val="ＭＳ Ｐ明朝"/>
        <family val="1"/>
        <charset val="128"/>
      </rPr>
      <t>ナタリズマブ</t>
    </r>
  </si>
  <si>
    <r>
      <t xml:space="preserve">TYSABRI_x000D_
</t>
    </r>
    <r>
      <rPr>
        <sz val="9"/>
        <color theme="1"/>
        <rFont val="ＭＳ Ｐ明朝"/>
        <family val="1"/>
        <charset val="128"/>
      </rPr>
      <t>タイサブリ</t>
    </r>
  </si>
  <si>
    <r>
      <t xml:space="preserve">eculizumab_x000D_
</t>
    </r>
    <r>
      <rPr>
        <sz val="9"/>
        <color theme="1"/>
        <rFont val="ＭＳ Ｐ明朝"/>
        <family val="1"/>
        <charset val="128"/>
      </rPr>
      <t>エクリズマブ</t>
    </r>
  </si>
  <si>
    <r>
      <t xml:space="preserve">SOLIRIS_x000D_
</t>
    </r>
    <r>
      <rPr>
        <sz val="9"/>
        <color theme="1"/>
        <rFont val="ＭＳ Ｐ明朝"/>
        <family val="1"/>
        <charset val="128"/>
      </rPr>
      <t>ソリリス</t>
    </r>
  </si>
  <si>
    <r>
      <t xml:space="preserve">alemtuzumab_x000D_
</t>
    </r>
    <r>
      <rPr>
        <sz val="9"/>
        <color theme="1"/>
        <rFont val="ＭＳ Ｐ明朝"/>
        <family val="1"/>
        <charset val="128"/>
      </rPr>
      <t>アレムツズマブ</t>
    </r>
  </si>
  <si>
    <t>ENBREL</t>
  </si>
  <si>
    <t>FLIXABI</t>
  </si>
  <si>
    <r>
      <t xml:space="preserve">infliximab_x000D_
</t>
    </r>
    <r>
      <rPr>
        <sz val="9"/>
        <color theme="1"/>
        <rFont val="ＭＳ Ｐ明朝"/>
        <family val="1"/>
        <charset val="128"/>
      </rPr>
      <t>インフリキシマブ</t>
    </r>
  </si>
  <si>
    <r>
      <t xml:space="preserve">REMICADE_x000D_
</t>
    </r>
    <r>
      <rPr>
        <sz val="9"/>
        <color theme="1"/>
        <rFont val="ＭＳ Ｐ明朝"/>
        <family val="1"/>
        <charset val="128"/>
      </rPr>
      <t>レミケード</t>
    </r>
  </si>
  <si>
    <r>
      <t xml:space="preserve">infliximab-dyyb_x000D_
</t>
    </r>
    <r>
      <rPr>
        <sz val="9"/>
        <color theme="1"/>
        <rFont val="ＭＳ Ｐ明朝"/>
        <family val="1"/>
        <charset val="128"/>
      </rPr>
      <t>インフリキシマブ</t>
    </r>
  </si>
  <si>
    <r>
      <t xml:space="preserve">INFLECTRA_x000D_
</t>
    </r>
    <r>
      <rPr>
        <sz val="9"/>
        <color theme="1"/>
        <rFont val="ＭＳ Ｐ明朝"/>
        <family val="1"/>
        <charset val="128"/>
      </rPr>
      <t>インフレクトラ</t>
    </r>
  </si>
  <si>
    <r>
      <t xml:space="preserve">adalimumab_x000D_
</t>
    </r>
    <r>
      <rPr>
        <sz val="9"/>
        <color theme="1"/>
        <rFont val="ＭＳ Ｐ明朝"/>
        <family val="1"/>
        <charset val="128"/>
      </rPr>
      <t>アダリムマブ</t>
    </r>
  </si>
  <si>
    <r>
      <t xml:space="preserve">HUMIRA_x000D_
</t>
    </r>
    <r>
      <rPr>
        <sz val="9"/>
        <color theme="1"/>
        <rFont val="ＭＳ Ｐ明朝"/>
        <family val="1"/>
        <charset val="128"/>
      </rPr>
      <t>ヒュミラ</t>
    </r>
  </si>
  <si>
    <r>
      <t xml:space="preserve">certolizumab pegol_x000D_
</t>
    </r>
    <r>
      <rPr>
        <sz val="9"/>
        <color theme="1"/>
        <rFont val="ＭＳ Ｐ明朝"/>
        <family val="1"/>
        <charset val="128"/>
      </rPr>
      <t>セルトリズマブ　ペゴル</t>
    </r>
  </si>
  <si>
    <r>
      <t xml:space="preserve">CIMZIA_x000D_
</t>
    </r>
    <r>
      <rPr>
        <sz val="9"/>
        <color theme="1"/>
        <rFont val="ＭＳ Ｐ明朝"/>
        <family val="1"/>
        <charset val="128"/>
      </rPr>
      <t>シムジア</t>
    </r>
  </si>
  <si>
    <r>
      <t xml:space="preserve">golimumab_x000D_
</t>
    </r>
    <r>
      <rPr>
        <sz val="9"/>
        <color theme="1"/>
        <rFont val="ＭＳ Ｐ明朝"/>
        <family val="1"/>
        <charset val="128"/>
      </rPr>
      <t>ゴリムマブ</t>
    </r>
  </si>
  <si>
    <r>
      <t xml:space="preserve">SIMPONI_x000D_
</t>
    </r>
    <r>
      <rPr>
        <sz val="9"/>
        <color theme="1"/>
        <rFont val="ＭＳ Ｐ明朝"/>
        <family val="1"/>
        <charset val="128"/>
      </rPr>
      <t>シンポニー</t>
    </r>
  </si>
  <si>
    <r>
      <t xml:space="preserve">basiliximab_x000D_
</t>
    </r>
    <r>
      <rPr>
        <sz val="9"/>
        <color theme="1"/>
        <rFont val="ＭＳ Ｐ明朝"/>
        <family val="1"/>
        <charset val="128"/>
      </rPr>
      <t>バシリキシマブ</t>
    </r>
  </si>
  <si>
    <r>
      <t xml:space="preserve">SIMULECT_x000D_
</t>
    </r>
    <r>
      <rPr>
        <sz val="9"/>
        <color theme="1"/>
        <rFont val="ＭＳ Ｐ明朝"/>
        <family val="1"/>
        <charset val="128"/>
      </rPr>
      <t>シムレクト</t>
    </r>
  </si>
  <si>
    <r>
      <t xml:space="preserve">ustekinumab_x000D_
</t>
    </r>
    <r>
      <rPr>
        <sz val="9"/>
        <color theme="1"/>
        <rFont val="ＭＳ Ｐ明朝"/>
        <family val="1"/>
        <charset val="128"/>
      </rPr>
      <t>ウステキヌマブ</t>
    </r>
  </si>
  <si>
    <r>
      <t xml:space="preserve">STELARA_x000D_
</t>
    </r>
    <r>
      <rPr>
        <sz val="9"/>
        <color theme="1"/>
        <rFont val="ＭＳ Ｐ明朝"/>
        <family val="1"/>
        <charset val="128"/>
      </rPr>
      <t>ステラーラ</t>
    </r>
  </si>
  <si>
    <r>
      <t xml:space="preserve">tocilizumab_x000D_
</t>
    </r>
    <r>
      <rPr>
        <sz val="9"/>
        <color theme="1"/>
        <rFont val="ＭＳ Ｐ明朝"/>
        <family val="1"/>
        <charset val="128"/>
      </rPr>
      <t>トシリズマブ</t>
    </r>
  </si>
  <si>
    <r>
      <t xml:space="preserve">ACTEMRA (RoActemra)_x000D_
</t>
    </r>
    <r>
      <rPr>
        <sz val="9"/>
        <color theme="1"/>
        <rFont val="ＭＳ Ｐ明朝"/>
        <family val="1"/>
        <charset val="128"/>
      </rPr>
      <t>アクテムラ</t>
    </r>
  </si>
  <si>
    <r>
      <t xml:space="preserve">canakinumab_x000D_
</t>
    </r>
    <r>
      <rPr>
        <sz val="9"/>
        <color theme="1"/>
        <rFont val="ＭＳ Ｐ明朝"/>
        <family val="1"/>
        <charset val="128"/>
      </rPr>
      <t>カナキヌマブ</t>
    </r>
  </si>
  <si>
    <r>
      <t xml:space="preserve">ILARIS_x000D_
</t>
    </r>
    <r>
      <rPr>
        <sz val="9"/>
        <color theme="1"/>
        <rFont val="ＭＳ Ｐ明朝"/>
        <family val="1"/>
        <charset val="128"/>
      </rPr>
      <t>イラリス</t>
    </r>
  </si>
  <si>
    <r>
      <t xml:space="preserve">secukinumab_x000D_
</t>
    </r>
    <r>
      <rPr>
        <sz val="9"/>
        <color theme="1"/>
        <rFont val="ＭＳ Ｐ明朝"/>
        <family val="1"/>
        <charset val="128"/>
      </rPr>
      <t>セクキヌマブ</t>
    </r>
  </si>
  <si>
    <r>
      <t xml:space="preserve">COSENTYX_x000D_
</t>
    </r>
    <r>
      <rPr>
        <sz val="9"/>
        <color theme="1"/>
        <rFont val="ＭＳ Ｐ明朝"/>
        <family val="1"/>
        <charset val="128"/>
      </rPr>
      <t>コセンティクス</t>
    </r>
  </si>
  <si>
    <r>
      <t xml:space="preserve">brodalumab_x000D_
</t>
    </r>
    <r>
      <rPr>
        <sz val="9"/>
        <color theme="1"/>
        <rFont val="ＭＳ Ｐ明朝"/>
        <family val="1"/>
        <charset val="128"/>
      </rPr>
      <t>ブロダルマブ</t>
    </r>
  </si>
  <si>
    <r>
      <t xml:space="preserve">LUMICEF_x000D_
</t>
    </r>
    <r>
      <rPr>
        <sz val="9"/>
        <color theme="1"/>
        <rFont val="ＭＳ Ｐ明朝"/>
        <family val="1"/>
        <charset val="128"/>
      </rPr>
      <t>ルミセフ</t>
    </r>
  </si>
  <si>
    <r>
      <t xml:space="preserve">ixekizumab_x000D_
</t>
    </r>
    <r>
      <rPr>
        <sz val="9"/>
        <color theme="1"/>
        <rFont val="ＭＳ Ｐ明朝"/>
        <family val="1"/>
        <charset val="128"/>
      </rPr>
      <t>イキセキズマブ</t>
    </r>
  </si>
  <si>
    <r>
      <t xml:space="preserve">TALTZ_x000D_
</t>
    </r>
    <r>
      <rPr>
        <sz val="9"/>
        <color theme="1"/>
        <rFont val="ＭＳ Ｐ明朝"/>
        <family val="1"/>
        <charset val="128"/>
      </rPr>
      <t>トルツ</t>
    </r>
  </si>
  <si>
    <r>
      <t xml:space="preserve">denosumab_x000D_
</t>
    </r>
    <r>
      <rPr>
        <sz val="9"/>
        <color theme="1"/>
        <rFont val="ＭＳ Ｐ明朝"/>
        <family val="1"/>
        <charset val="128"/>
      </rPr>
      <t>デノスマブ</t>
    </r>
  </si>
  <si>
    <r>
      <t xml:space="preserve">PROLIA_x000D_
</t>
    </r>
    <r>
      <rPr>
        <sz val="9"/>
        <color theme="1"/>
        <rFont val="ＭＳ Ｐ明朝"/>
        <family val="1"/>
        <charset val="128"/>
      </rPr>
      <t>プラリア</t>
    </r>
  </si>
  <si>
    <r>
      <t xml:space="preserve">RANMARK_x000D_
</t>
    </r>
    <r>
      <rPr>
        <sz val="9"/>
        <color theme="1"/>
        <rFont val="ＭＳ Ｐ明朝"/>
        <family val="1"/>
        <charset val="128"/>
      </rPr>
      <t>ランマーク</t>
    </r>
  </si>
  <si>
    <r>
      <t xml:space="preserve">omalizumab_x000D_
</t>
    </r>
    <r>
      <rPr>
        <sz val="9"/>
        <color theme="1"/>
        <rFont val="ＭＳ Ｐ明朝"/>
        <family val="1"/>
        <charset val="128"/>
      </rPr>
      <t>オマリズマブ</t>
    </r>
  </si>
  <si>
    <r>
      <t xml:space="preserve">XOLAIR_x000D_
</t>
    </r>
    <r>
      <rPr>
        <sz val="9"/>
        <color theme="1"/>
        <rFont val="ＭＳ Ｐ明朝"/>
        <family val="1"/>
        <charset val="128"/>
      </rPr>
      <t>ゾレア</t>
    </r>
  </si>
  <si>
    <r>
      <t xml:space="preserve">mepolizumab_x000D_
</t>
    </r>
    <r>
      <rPr>
        <sz val="9"/>
        <color theme="1"/>
        <rFont val="ＭＳ Ｐ明朝"/>
        <family val="1"/>
        <charset val="128"/>
      </rPr>
      <t>メポリズマブ</t>
    </r>
  </si>
  <si>
    <r>
      <t xml:space="preserve">NUCALA_x000D_
</t>
    </r>
    <r>
      <rPr>
        <sz val="9"/>
        <color theme="1"/>
        <rFont val="ＭＳ Ｐ明朝"/>
        <family val="1"/>
        <charset val="128"/>
      </rPr>
      <t>ヌーカラ</t>
    </r>
  </si>
  <si>
    <r>
      <t xml:space="preserve">ranibizumab_x000D_
</t>
    </r>
    <r>
      <rPr>
        <sz val="9"/>
        <color theme="1"/>
        <rFont val="ＭＳ Ｐ明朝"/>
        <family val="1"/>
        <charset val="128"/>
      </rPr>
      <t>ラニビズマブ</t>
    </r>
  </si>
  <si>
    <r>
      <t xml:space="preserve">LUCENTIS_x000D_
</t>
    </r>
    <r>
      <rPr>
        <sz val="9"/>
        <color theme="1"/>
        <rFont val="ＭＳ Ｐ明朝"/>
        <family val="1"/>
        <charset val="128"/>
      </rPr>
      <t>ルセンティス</t>
    </r>
  </si>
  <si>
    <r>
      <t xml:space="preserve">idarucizumab_x000D_
</t>
    </r>
    <r>
      <rPr>
        <sz val="9"/>
        <color theme="1"/>
        <rFont val="ＭＳ Ｐ明朝"/>
        <family val="1"/>
        <charset val="128"/>
      </rPr>
      <t>イダルシズマブ</t>
    </r>
  </si>
  <si>
    <r>
      <t xml:space="preserve">PRAXBIND_x000D_
</t>
    </r>
    <r>
      <rPr>
        <sz val="9"/>
        <color theme="1"/>
        <rFont val="ＭＳ Ｐ明朝"/>
        <family val="1"/>
        <charset val="128"/>
      </rPr>
      <t>プリズバインド</t>
    </r>
  </si>
  <si>
    <r>
      <t xml:space="preserve">ibritumomab tiuxetan_x000D_
</t>
    </r>
    <r>
      <rPr>
        <sz val="9"/>
        <color theme="1"/>
        <rFont val="ＭＳ Ｐ明朝"/>
        <family val="1"/>
        <charset val="128"/>
      </rPr>
      <t>イットリウム（</t>
    </r>
    <r>
      <rPr>
        <sz val="9"/>
        <color theme="1"/>
        <rFont val="Times New Roman"/>
        <family val="1"/>
      </rPr>
      <t>90Y</t>
    </r>
    <r>
      <rPr>
        <sz val="9"/>
        <color theme="1"/>
        <rFont val="ＭＳ Ｐ明朝"/>
        <family val="1"/>
        <charset val="128"/>
      </rPr>
      <t>）イブリツモマブ　チウキセタン_x000D_
インジウム（</t>
    </r>
    <r>
      <rPr>
        <sz val="9"/>
        <color theme="1"/>
        <rFont val="Times New Roman"/>
        <family val="1"/>
      </rPr>
      <t>111In</t>
    </r>
    <r>
      <rPr>
        <sz val="9"/>
        <color theme="1"/>
        <rFont val="ＭＳ Ｐ明朝"/>
        <family val="1"/>
        <charset val="128"/>
      </rPr>
      <t>）イブリツモマブ　チウキセタン</t>
    </r>
  </si>
  <si>
    <r>
      <t xml:space="preserve">ZEVALIN_x000D_
</t>
    </r>
    <r>
      <rPr>
        <sz val="9"/>
        <color theme="1"/>
        <rFont val="ＭＳ Ｐ明朝"/>
        <family val="1"/>
        <charset val="128"/>
      </rPr>
      <t>ゼヴァリン</t>
    </r>
  </si>
  <si>
    <r>
      <t xml:space="preserve">RITUXAN, MabTHERA_x000D_
</t>
    </r>
    <r>
      <rPr>
        <sz val="9"/>
        <color theme="1"/>
        <rFont val="ＭＳ Ｐ明朝"/>
        <family val="1"/>
        <charset val="128"/>
      </rPr>
      <t>リツキサン</t>
    </r>
  </si>
  <si>
    <r>
      <t xml:space="preserve">abatacept_x000D_
</t>
    </r>
    <r>
      <rPr>
        <sz val="9"/>
        <color theme="1"/>
        <rFont val="ＭＳ Ｐ明朝"/>
        <family val="1"/>
        <charset val="128"/>
      </rPr>
      <t>アバタセプト</t>
    </r>
  </si>
  <si>
    <r>
      <t xml:space="preserve">CAMPATH (MabCAMPATH)_x000D_
</t>
    </r>
    <r>
      <rPr>
        <sz val="9"/>
        <color theme="1"/>
        <rFont val="ＭＳ Ｐ明朝"/>
        <family val="1"/>
        <charset val="128"/>
      </rPr>
      <t>マブキャンパス</t>
    </r>
  </si>
  <si>
    <r>
      <t xml:space="preserve">etanercept_x000D_
</t>
    </r>
    <r>
      <rPr>
        <sz val="9"/>
        <color theme="1"/>
        <rFont val="ＭＳ Ｐ明朝"/>
        <family val="1"/>
        <charset val="128"/>
      </rPr>
      <t>エタネルセプト</t>
    </r>
  </si>
  <si>
    <t>ARCALYST_x000D_
RILONACEPT REGENERON</t>
  </si>
  <si>
    <r>
      <t xml:space="preserve">aflibercept_x000D_
</t>
    </r>
    <r>
      <rPr>
        <sz val="9"/>
        <color theme="1"/>
        <rFont val="ＭＳ Ｐ明朝"/>
        <family val="1"/>
        <charset val="128"/>
      </rPr>
      <t>アフリベルセプト</t>
    </r>
  </si>
  <si>
    <t>G4</t>
    <phoneticPr fontId="3"/>
  </si>
  <si>
    <t>G7</t>
    <phoneticPr fontId="3"/>
  </si>
  <si>
    <t>Ligand</t>
    <phoneticPr fontId="3"/>
  </si>
  <si>
    <t>Product Name</t>
    <phoneticPr fontId="3"/>
  </si>
  <si>
    <t>ATC Classification</t>
    <phoneticPr fontId="3"/>
  </si>
  <si>
    <t>mabd0001</t>
  </si>
  <si>
    <t>mabd0002</t>
  </si>
  <si>
    <t>mabd0003</t>
  </si>
  <si>
    <t>mabd0004</t>
  </si>
  <si>
    <t>mabd0005</t>
  </si>
  <si>
    <t>mabd0006</t>
  </si>
  <si>
    <t>mabd0007</t>
  </si>
  <si>
    <t>mabd0008</t>
  </si>
  <si>
    <t>mabd0009</t>
  </si>
  <si>
    <t>mabd0010</t>
  </si>
  <si>
    <t>mabd0011</t>
  </si>
  <si>
    <t>mabd0012</t>
  </si>
  <si>
    <t>mabd0013</t>
  </si>
  <si>
    <t>mabd0014</t>
  </si>
  <si>
    <t>mabd0015</t>
  </si>
  <si>
    <t>mabd0016</t>
  </si>
  <si>
    <t>mabd0017</t>
  </si>
  <si>
    <t>mabd0018</t>
  </si>
  <si>
    <t>mabd0019</t>
  </si>
  <si>
    <t>mabd0020</t>
  </si>
  <si>
    <t>mabd0021</t>
  </si>
  <si>
    <t>mabd0022</t>
  </si>
  <si>
    <t>mabd0023</t>
  </si>
  <si>
    <t>mabd0024</t>
  </si>
  <si>
    <t>mabd0025</t>
  </si>
  <si>
    <t>mabd0026</t>
  </si>
  <si>
    <t>mabd0027</t>
  </si>
  <si>
    <t>mabd0028</t>
  </si>
  <si>
    <t>mabd0029</t>
  </si>
  <si>
    <t>mabd0030</t>
  </si>
  <si>
    <t>mabd0031</t>
  </si>
  <si>
    <t>mabd0032</t>
  </si>
  <si>
    <t>mabd0033</t>
  </si>
  <si>
    <t>mabd0034</t>
  </si>
  <si>
    <t>mabd0035</t>
  </si>
  <si>
    <t>mabd0036</t>
  </si>
  <si>
    <t>mabd0037</t>
  </si>
  <si>
    <t>mabd0038</t>
  </si>
  <si>
    <t>mabd0039</t>
  </si>
  <si>
    <t>mabd0040</t>
  </si>
  <si>
    <t>mabd0041</t>
  </si>
  <si>
    <t>mabd0042</t>
  </si>
  <si>
    <t>mabd0043</t>
  </si>
  <si>
    <t>mabd0044</t>
  </si>
  <si>
    <t>mabd0045</t>
  </si>
  <si>
    <t>mabd0046</t>
  </si>
  <si>
    <t>mabd0047</t>
  </si>
  <si>
    <t>mabd0048</t>
  </si>
  <si>
    <t>mabd0049</t>
  </si>
  <si>
    <t>mabd0050</t>
  </si>
  <si>
    <t>mabd0051</t>
  </si>
  <si>
    <t>mabd0052</t>
  </si>
  <si>
    <t>mabd0053</t>
  </si>
  <si>
    <t>mabd0054</t>
  </si>
  <si>
    <t>mabd0055</t>
  </si>
  <si>
    <t>mabd0056</t>
  </si>
  <si>
    <t>mabd0057</t>
  </si>
  <si>
    <t>mabd0058</t>
  </si>
  <si>
    <t>mabd0059</t>
  </si>
  <si>
    <t>mabd0060</t>
  </si>
  <si>
    <t>mabd0061</t>
  </si>
  <si>
    <t>mabd0062</t>
  </si>
  <si>
    <t>mabd0063</t>
  </si>
  <si>
    <t>mabd0064</t>
  </si>
  <si>
    <t>mabd0065</t>
  </si>
  <si>
    <t>mabd0066</t>
  </si>
  <si>
    <t>mabd0067</t>
  </si>
  <si>
    <t>mabd0068</t>
  </si>
  <si>
    <t>mabd0069</t>
  </si>
  <si>
    <t>mabd0070</t>
  </si>
  <si>
    <t>mabd0071</t>
  </si>
  <si>
    <t>mabd0072</t>
  </si>
  <si>
    <t>mabd0073</t>
  </si>
  <si>
    <t>mabd0074</t>
  </si>
  <si>
    <t>mabd0075</t>
  </si>
  <si>
    <t>mabd0076</t>
  </si>
  <si>
    <t>mabd0077</t>
  </si>
  <si>
    <t>mabd0078</t>
  </si>
  <si>
    <t>mabd0079</t>
  </si>
  <si>
    <t>mabd0080</t>
  </si>
  <si>
    <t>mabd0081</t>
  </si>
  <si>
    <t>mabd0082</t>
  </si>
  <si>
    <t>mabd0083</t>
  </si>
  <si>
    <t>mabd0084</t>
  </si>
  <si>
    <t>mabd0085</t>
  </si>
  <si>
    <t>mabd0086</t>
  </si>
  <si>
    <t>mabd0087</t>
  </si>
  <si>
    <t>mabd0088</t>
  </si>
  <si>
    <t>mabd0089</t>
  </si>
  <si>
    <t>mabd0090</t>
  </si>
  <si>
    <t>mabd0091</t>
  </si>
  <si>
    <t>mabd0092</t>
  </si>
  <si>
    <t>mabd0093</t>
  </si>
  <si>
    <t>mabd0094</t>
  </si>
  <si>
    <t>mabd0095</t>
  </si>
  <si>
    <t>mabd0096</t>
  </si>
  <si>
    <t>mabd0097</t>
  </si>
  <si>
    <t>mabd0098</t>
  </si>
  <si>
    <t>mabd0099</t>
  </si>
  <si>
    <t>mabd0100</t>
  </si>
  <si>
    <t>mabd0101</t>
  </si>
  <si>
    <t>mabd0102</t>
  </si>
  <si>
    <t>mabd0103</t>
  </si>
  <si>
    <t>mabd0104</t>
  </si>
  <si>
    <t>mabd0105</t>
  </si>
  <si>
    <t>mabd0106</t>
  </si>
  <si>
    <t>mabd0107</t>
  </si>
  <si>
    <t>mabd0108</t>
  </si>
  <si>
    <t>mabd0109</t>
  </si>
  <si>
    <t>mabd0110</t>
  </si>
  <si>
    <t>mabd0111</t>
  </si>
  <si>
    <t>mabd0112</t>
  </si>
  <si>
    <t>mabd0113</t>
  </si>
  <si>
    <t>mabd0114</t>
  </si>
  <si>
    <t>mabd0115</t>
  </si>
  <si>
    <t>mabd0116</t>
  </si>
  <si>
    <t>mabd0117</t>
  </si>
  <si>
    <t>mabd0118</t>
  </si>
  <si>
    <t>mabd0119</t>
  </si>
  <si>
    <t>mabd0120</t>
  </si>
  <si>
    <t>mabd0121</t>
  </si>
  <si>
    <t>mabd0122</t>
  </si>
  <si>
    <t>mabd0123</t>
  </si>
  <si>
    <t>mabd0124</t>
  </si>
  <si>
    <t>mabd0125</t>
  </si>
  <si>
    <t>mabd0126</t>
  </si>
  <si>
    <t>mabd0127</t>
  </si>
  <si>
    <t>mabd0128</t>
  </si>
  <si>
    <t>mabd0129</t>
  </si>
  <si>
    <t>mabd0130</t>
  </si>
  <si>
    <t>mabd0131</t>
  </si>
  <si>
    <t>mabd0132</t>
  </si>
  <si>
    <t>mabd0133</t>
  </si>
  <si>
    <t>mabd0134</t>
  </si>
  <si>
    <t>mabd0135</t>
  </si>
  <si>
    <t>mabd0136</t>
  </si>
  <si>
    <t>mabd0137</t>
  </si>
  <si>
    <t>mabd0138</t>
  </si>
  <si>
    <t>mabd0139</t>
  </si>
  <si>
    <t>mabd0140</t>
  </si>
  <si>
    <t>mabd0141</t>
  </si>
  <si>
    <t>mabd0142</t>
  </si>
  <si>
    <t>mabd0143</t>
  </si>
  <si>
    <t>mabd0144</t>
  </si>
  <si>
    <t>mabd0145</t>
  </si>
  <si>
    <t>mabd0146</t>
  </si>
  <si>
    <t>mabd0147</t>
  </si>
  <si>
    <t>mabd0148</t>
  </si>
  <si>
    <t>mabd0149</t>
  </si>
  <si>
    <t>mabd0150</t>
  </si>
  <si>
    <t>mabd0151</t>
  </si>
  <si>
    <t>mabd0152</t>
  </si>
  <si>
    <t>mabd0153</t>
  </si>
  <si>
    <t>mabd0154</t>
  </si>
  <si>
    <t>mabd0155</t>
  </si>
  <si>
    <t>mabd0156</t>
  </si>
  <si>
    <t>mabd0157</t>
  </si>
  <si>
    <t>mabd0158</t>
  </si>
  <si>
    <t>mabd0159</t>
  </si>
  <si>
    <t>mabd0160</t>
  </si>
  <si>
    <t>mabd0161</t>
  </si>
  <si>
    <t>mabd0162</t>
  </si>
  <si>
    <t>mabd0163</t>
  </si>
  <si>
    <t>mabd0164</t>
  </si>
  <si>
    <t>mabd0165</t>
  </si>
  <si>
    <t>mabd0166</t>
  </si>
  <si>
    <t>mabd0167</t>
  </si>
  <si>
    <t>mabd0168</t>
  </si>
  <si>
    <t>mabd0169</t>
  </si>
  <si>
    <t>mabd0170</t>
  </si>
  <si>
    <t>mabd0171</t>
  </si>
  <si>
    <t>ID</t>
    <phoneticPr fontId="3"/>
  </si>
  <si>
    <t>medals antibody drug ID</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</si>
</sst>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2"/>
      <charset val="128"/>
      <scheme val="minor"/>
    </font>
    <font>
      <sz val="11"/>
      <color theme="1"/>
      <name val="ＭＳ Ｐ明朝"/>
      <family val="2"/>
      <charset val="128"/>
    </font>
    <font>
      <sz val="11"/>
      <color theme="1"/>
      <name val="Times New Roman"/>
      <family val="1"/>
    </font>
    <font>
      <sz val="6"/>
      <name val="ＭＳ Ｐゴシック"/>
      <family val="2"/>
      <charset val="128"/>
      <scheme val="minor"/>
    </font>
    <font>
      <b/>
      <sz val="11"/>
      <color theme="1"/>
      <name val="Times New Roman"/>
      <family val="1"/>
    </font>
    <font>
      <i/>
      <sz val="11"/>
      <color theme="1"/>
      <name val="Times New Roman"/>
      <family val="1"/>
    </font>
    <font>
      <b/>
      <sz val="11"/>
      <name val="Times New Roman"/>
      <family val="1"/>
    </font>
    <font>
      <sz val="11"/>
      <name val="Times New Roman"/>
      <family val="1"/>
    </font>
    <font>
      <b/>
      <sz val="11"/>
      <color rgb="FFFF0000"/>
      <name val="Times New Roman"/>
      <family val="1"/>
    </font>
    <font>
      <sz val="11"/>
      <color theme="1"/>
      <name val="ＭＳ Ｐ明朝"/>
      <family val="1"/>
      <charset val="128"/>
    </font>
    <font>
      <b/>
      <sz val="11"/>
      <color rgb="FF0070C0"/>
      <name val="Times New Roman"/>
      <family val="1"/>
    </font>
    <font>
      <b/>
      <sz val="11"/>
      <color theme="9" tint="-0.499984740745262"/>
      <name val="Times New Roman"/>
      <family val="1"/>
    </font>
    <font>
      <sz val="9"/>
      <color theme="1"/>
      <name val="Times New Roman"/>
      <family val="1"/>
    </font>
    <font>
      <b/>
      <sz val="12"/>
      <color theme="1"/>
      <name val="Times New Roman"/>
      <family val="1"/>
    </font>
    <font>
      <b/>
      <sz val="9"/>
      <color rgb="FF000000"/>
      <name val="Times New Roman"/>
      <family val="1"/>
    </font>
    <font>
      <b/>
      <sz val="9"/>
      <color theme="1"/>
      <name val="Times New Roman"/>
      <family val="1"/>
    </font>
    <font>
      <sz val="11"/>
      <color theme="1"/>
      <name val="ＭＳ Ｐゴシック"/>
      <family val="2"/>
      <charset val="128"/>
    </font>
    <font>
      <b/>
      <sz val="11"/>
      <color theme="9" tint="-0.499984740745262"/>
      <name val="ＭＳ Ｐ明朝"/>
      <family val="1"/>
      <charset val="128"/>
    </font>
    <font>
      <sz val="11"/>
      <color theme="1"/>
      <name val="ＭＳ Ｐゴシック"/>
      <family val="2"/>
      <charset val="128"/>
      <scheme val="minor"/>
    </font>
    <font>
      <sz val="9"/>
      <color theme="1"/>
      <name val="ＭＳ Ｐ明朝"/>
      <family val="1"/>
      <charset val="128"/>
    </font>
  </fonts>
  <fills count="5">
    <fill>
      <patternFill patternType="none"/>
    </fill>
    <fill>
      <patternFill patternType="gray125"/>
    </fill>
    <fill>
      <patternFill patternType="solid">
        <fgColor rgb="FFFFB9B9"/>
        <bgColor indexed="64"/>
      </patternFill>
    </fill>
    <fill>
      <patternFill patternType="solid">
        <fgColor rgb="FFFFD9D9"/>
        <bgColor indexed="64"/>
      </patternFill>
    </fill>
    <fill>
      <patternFill patternType="solid">
        <fgColor rgb="FFFF9F9F"/>
        <bgColor indexed="64"/>
      </patternFill>
    </fill>
  </fills>
  <borders count="49">
    <border>
      <left/>
      <right/>
      <top/>
      <bottom/>
      <diagonal/>
    </border>
    <border>
      <left/>
      <right/>
      <top/>
      <bottom style="thin">
        <color indexed="64"/>
      </bottom>
      <diagonal/>
    </border>
    <border>
      <left/>
      <right/>
      <top/>
      <bottom style="double">
        <color indexed="64"/>
      </bottom>
      <diagonal/>
    </border>
    <border>
      <left/>
      <right style="thin">
        <color indexed="64"/>
      </right>
      <top/>
      <bottom/>
      <diagonal/>
    </border>
    <border>
      <left/>
      <right style="thin">
        <color indexed="64"/>
      </right>
      <top/>
      <bottom style="double">
        <color indexed="64"/>
      </bottom>
      <diagonal/>
    </border>
    <border>
      <left/>
      <right style="thin">
        <color indexed="64"/>
      </right>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double">
        <color indexed="64"/>
      </bottom>
      <diagonal/>
    </border>
    <border>
      <left/>
      <right style="medium">
        <color indexed="64"/>
      </right>
      <top/>
      <bottom style="double">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double">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double">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double">
        <color indexed="64"/>
      </right>
      <top/>
      <bottom/>
      <diagonal/>
    </border>
    <border>
      <left/>
      <right style="double">
        <color indexed="64"/>
      </right>
      <top/>
      <bottom style="double">
        <color indexed="64"/>
      </bottom>
      <diagonal/>
    </border>
    <border>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right/>
      <top style="medium">
        <color indexed="64"/>
      </top>
      <bottom/>
      <diagonal/>
    </border>
    <border>
      <left/>
      <right style="double">
        <color indexed="64"/>
      </right>
      <top style="medium">
        <color indexed="64"/>
      </top>
      <bottom/>
      <diagonal/>
    </border>
    <border>
      <left style="medium">
        <color indexed="64"/>
      </left>
      <right style="thin">
        <color indexed="64"/>
      </right>
      <top style="double">
        <color indexed="64"/>
      </top>
      <bottom/>
      <diagonal/>
    </border>
    <border>
      <left/>
      <right style="medium">
        <color indexed="64"/>
      </right>
      <top style="double">
        <color indexed="64"/>
      </top>
      <bottom/>
      <diagonal/>
    </border>
    <border>
      <left/>
      <right style="double">
        <color indexed="64"/>
      </right>
      <top/>
      <bottom style="medium">
        <color indexed="64"/>
      </bottom>
      <diagonal/>
    </border>
    <border>
      <left/>
      <right style="thin">
        <color theme="0"/>
      </right>
      <top/>
      <bottom/>
      <diagonal/>
    </border>
    <border>
      <left style="thin">
        <color theme="0"/>
      </left>
      <right style="thin">
        <color theme="0"/>
      </right>
      <top/>
      <bottom/>
      <diagonal/>
    </border>
    <border>
      <left style="thin">
        <color theme="0"/>
      </left>
      <right style="thin">
        <color theme="0"/>
      </right>
      <top/>
      <bottom style="thin">
        <color theme="0"/>
      </bottom>
      <diagonal/>
    </border>
    <border>
      <left/>
      <right style="thin">
        <color rgb="FFFFD9D9"/>
      </right>
      <top/>
      <bottom/>
      <diagonal/>
    </border>
    <border>
      <left style="thin">
        <color rgb="FFFFD9D9"/>
      </left>
      <right style="thin">
        <color rgb="FFFFD9D9"/>
      </right>
      <top/>
      <bottom/>
      <diagonal/>
    </border>
    <border>
      <left style="thin">
        <color rgb="FFFFD9D9"/>
      </left>
      <right/>
      <top/>
      <bottom/>
      <diagonal/>
    </border>
    <border>
      <left/>
      <right style="thin">
        <color theme="0"/>
      </right>
      <top/>
      <bottom style="thin">
        <color theme="0"/>
      </bottom>
      <diagonal/>
    </border>
    <border>
      <left style="medium">
        <color indexed="64"/>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thin">
        <color theme="0"/>
      </top>
      <bottom style="thin">
        <color theme="0"/>
      </bottom>
      <diagonal/>
    </border>
    <border>
      <left/>
      <right/>
      <top style="thin">
        <color theme="0"/>
      </top>
      <bottom style="thin">
        <color theme="0"/>
      </bottom>
      <diagonal/>
    </border>
    <border>
      <left/>
      <right style="medium">
        <color indexed="64"/>
      </right>
      <top style="thin">
        <color theme="0"/>
      </top>
      <bottom style="thin">
        <color theme="0"/>
      </bottom>
      <diagonal/>
    </border>
  </borders>
  <cellStyleXfs count="3">
    <xf numFmtId="0" fontId="0" fillId="0" borderId="0">
      <alignment vertical="center"/>
    </xf>
    <xf numFmtId="0" fontId="1" fillId="0" borderId="0">
      <alignment vertical="center"/>
    </xf>
    <xf numFmtId="0" fontId="18" fillId="0" borderId="0">
      <alignment vertical="center"/>
    </xf>
  </cellStyleXfs>
  <cellXfs count="113">
    <xf numFmtId="0" fontId="0" fillId="0" borderId="0" xfId="0">
      <alignment vertical="center"/>
    </xf>
    <xf numFmtId="0" fontId="12" fillId="0" borderId="0" xfId="0" applyFont="1">
      <alignment vertical="center"/>
    </xf>
    <xf numFmtId="0" fontId="2" fillId="0" borderId="0" xfId="0" applyFont="1" applyFill="1" applyBorder="1">
      <alignment vertical="center"/>
    </xf>
    <xf numFmtId="0" fontId="12" fillId="0" borderId="3" xfId="0" applyFont="1" applyBorder="1">
      <alignment vertical="center"/>
    </xf>
    <xf numFmtId="0" fontId="14" fillId="0" borderId="10" xfId="0" applyFont="1" applyBorder="1" applyAlignment="1">
      <alignment horizontal="left" vertical="center" wrapText="1" readingOrder="1"/>
    </xf>
    <xf numFmtId="0" fontId="14" fillId="0" borderId="11" xfId="0" applyFont="1" applyBorder="1" applyAlignment="1">
      <alignment horizontal="right" vertical="center" wrapText="1" readingOrder="1"/>
    </xf>
    <xf numFmtId="0" fontId="15" fillId="0" borderId="0" xfId="0" applyFont="1">
      <alignment vertical="center"/>
    </xf>
    <xf numFmtId="0" fontId="15" fillId="0" borderId="10" xfId="0" applyFont="1" applyBorder="1">
      <alignment vertical="center"/>
    </xf>
    <xf numFmtId="0" fontId="15" fillId="0" borderId="14" xfId="0" applyFont="1" applyBorder="1">
      <alignment vertical="center"/>
    </xf>
    <xf numFmtId="0" fontId="12" fillId="0" borderId="0" xfId="0" applyFont="1" applyBorder="1">
      <alignment vertical="center"/>
    </xf>
    <xf numFmtId="0" fontId="12" fillId="0" borderId="1" xfId="0" applyFont="1" applyBorder="1">
      <alignment vertical="center"/>
    </xf>
    <xf numFmtId="0" fontId="12" fillId="0" borderId="11" xfId="0" applyFont="1" applyBorder="1">
      <alignment vertical="center"/>
    </xf>
    <xf numFmtId="0" fontId="12" fillId="0" borderId="25" xfId="0" applyFont="1" applyBorder="1">
      <alignment vertical="center"/>
    </xf>
    <xf numFmtId="0" fontId="12" fillId="3" borderId="25" xfId="0" applyFont="1" applyFill="1" applyBorder="1">
      <alignment vertical="center"/>
    </xf>
    <xf numFmtId="0" fontId="12" fillId="0" borderId="28" xfId="0" applyFont="1" applyBorder="1">
      <alignment vertical="center"/>
    </xf>
    <xf numFmtId="0" fontId="12" fillId="0" borderId="29" xfId="0" applyFont="1" applyBorder="1">
      <alignment vertical="center"/>
    </xf>
    <xf numFmtId="0" fontId="12" fillId="0" borderId="30" xfId="0" applyFont="1" applyBorder="1">
      <alignment vertical="center"/>
    </xf>
    <xf numFmtId="0" fontId="12" fillId="0" borderId="27" xfId="0" applyFont="1" applyBorder="1">
      <alignment vertical="center"/>
    </xf>
    <xf numFmtId="0" fontId="12" fillId="0" borderId="5" xfId="0" applyFont="1" applyBorder="1">
      <alignment vertical="center"/>
    </xf>
    <xf numFmtId="0" fontId="12" fillId="3" borderId="34" xfId="0" applyFont="1" applyFill="1" applyBorder="1">
      <alignment vertical="center"/>
    </xf>
    <xf numFmtId="0" fontId="12" fillId="3" borderId="11" xfId="0" applyFont="1" applyFill="1" applyBorder="1">
      <alignment vertical="center"/>
    </xf>
    <xf numFmtId="0" fontId="12" fillId="3" borderId="13" xfId="0" applyFont="1" applyFill="1" applyBorder="1">
      <alignment vertical="center"/>
    </xf>
    <xf numFmtId="0" fontId="12" fillId="3" borderId="18" xfId="0" applyFont="1" applyFill="1" applyBorder="1">
      <alignment vertical="center"/>
    </xf>
    <xf numFmtId="0" fontId="12" fillId="3" borderId="15" xfId="0" applyFont="1" applyFill="1" applyBorder="1">
      <alignment vertical="center"/>
    </xf>
    <xf numFmtId="0" fontId="12" fillId="3" borderId="16" xfId="0" applyFont="1" applyFill="1" applyBorder="1">
      <alignment vertical="center"/>
    </xf>
    <xf numFmtId="0" fontId="15" fillId="0" borderId="0" xfId="0" applyFont="1" applyBorder="1" applyAlignment="1">
      <alignment vertical="center" textRotation="90"/>
    </xf>
    <xf numFmtId="0" fontId="2" fillId="0" borderId="39" xfId="0" applyFont="1" applyFill="1" applyBorder="1">
      <alignment vertical="center"/>
    </xf>
    <xf numFmtId="0" fontId="2" fillId="0" borderId="40" xfId="0" applyFont="1" applyFill="1" applyBorder="1">
      <alignment vertical="center"/>
    </xf>
    <xf numFmtId="0" fontId="2" fillId="0" borderId="40" xfId="0" applyFont="1" applyFill="1" applyBorder="1" applyAlignment="1">
      <alignment vertical="center" wrapText="1"/>
    </xf>
    <xf numFmtId="0" fontId="7" fillId="0" borderId="40" xfId="0" applyFont="1" applyFill="1" applyBorder="1" applyAlignment="1">
      <alignment horizontal="center" vertical="center" wrapText="1"/>
    </xf>
    <xf numFmtId="0" fontId="11" fillId="0" borderId="40" xfId="0" applyFont="1" applyFill="1" applyBorder="1" applyAlignment="1">
      <alignment horizontal="center" vertical="center" wrapText="1"/>
    </xf>
    <xf numFmtId="0" fontId="2" fillId="0" borderId="40" xfId="0" applyFont="1" applyFill="1" applyBorder="1" applyAlignment="1">
      <alignment horizontal="justify" vertical="center" wrapText="1"/>
    </xf>
    <xf numFmtId="0" fontId="2" fillId="0" borderId="40" xfId="0" applyFont="1" applyFill="1" applyBorder="1" applyAlignment="1">
      <alignment horizontal="left" vertical="center" wrapText="1"/>
    </xf>
    <xf numFmtId="0" fontId="2" fillId="0" borderId="41" xfId="0" applyFont="1" applyFill="1" applyBorder="1" applyAlignment="1">
      <alignment vertical="center" wrapText="1"/>
    </xf>
    <xf numFmtId="0" fontId="8" fillId="0" borderId="40" xfId="0" applyFont="1" applyFill="1" applyBorder="1" applyAlignment="1">
      <alignment horizontal="center" vertical="center" wrapText="1"/>
    </xf>
    <xf numFmtId="0" fontId="10" fillId="0" borderId="40"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3" borderId="36" xfId="0" applyFont="1" applyFill="1" applyBorder="1">
      <alignment vertical="center"/>
    </xf>
    <xf numFmtId="0" fontId="2" fillId="3" borderId="37" xfId="0" applyFont="1" applyFill="1" applyBorder="1">
      <alignment vertical="center"/>
    </xf>
    <xf numFmtId="0" fontId="7" fillId="3" borderId="37" xfId="0" applyFont="1" applyFill="1" applyBorder="1" applyAlignment="1">
      <alignment horizontal="center" vertical="center" wrapText="1"/>
    </xf>
    <xf numFmtId="0" fontId="11" fillId="3" borderId="37" xfId="0" applyFont="1" applyFill="1" applyBorder="1" applyAlignment="1">
      <alignment horizontal="center" vertical="center" wrapText="1"/>
    </xf>
    <xf numFmtId="0" fontId="2" fillId="3" borderId="37" xfId="0" applyFont="1" applyFill="1" applyBorder="1" applyAlignment="1">
      <alignment horizontal="justify" vertical="center" wrapText="1"/>
    </xf>
    <xf numFmtId="0" fontId="2" fillId="3" borderId="37" xfId="0" applyFont="1" applyFill="1" applyBorder="1" applyAlignment="1">
      <alignment horizontal="left" vertical="center" wrapText="1"/>
    </xf>
    <xf numFmtId="0" fontId="8" fillId="3" borderId="37"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3" fillId="4" borderId="38" xfId="0" applyFont="1" applyFill="1" applyBorder="1">
      <alignment vertical="center"/>
    </xf>
    <xf numFmtId="0" fontId="6" fillId="3" borderId="38" xfId="0" applyFont="1" applyFill="1" applyBorder="1" applyAlignment="1">
      <alignment horizontal="center" vertical="center" wrapText="1"/>
    </xf>
    <xf numFmtId="0" fontId="4" fillId="3" borderId="38" xfId="0" applyFont="1" applyFill="1" applyBorder="1" applyAlignment="1">
      <alignment horizontal="center" vertical="center" wrapText="1"/>
    </xf>
    <xf numFmtId="0" fontId="4" fillId="3" borderId="38" xfId="0" applyFont="1" applyFill="1" applyBorder="1" applyAlignment="1">
      <alignment horizontal="center" vertical="center"/>
    </xf>
    <xf numFmtId="14" fontId="7" fillId="0" borderId="40" xfId="0" applyNumberFormat="1" applyFont="1" applyFill="1" applyBorder="1" applyAlignment="1">
      <alignment horizontal="center" vertical="center" wrapText="1"/>
    </xf>
    <xf numFmtId="14" fontId="7" fillId="3" borderId="37" xfId="0" applyNumberFormat="1" applyFont="1" applyFill="1" applyBorder="1" applyAlignment="1">
      <alignment horizontal="center" vertical="center" wrapText="1"/>
    </xf>
    <xf numFmtId="0" fontId="9" fillId="0" borderId="40" xfId="0" applyFont="1" applyFill="1" applyBorder="1" applyAlignment="1">
      <alignment horizontal="justify" vertical="center" wrapText="1"/>
    </xf>
    <xf numFmtId="0" fontId="2" fillId="3" borderId="37" xfId="0" applyFont="1" applyFill="1" applyBorder="1" applyAlignment="1">
      <alignment vertical="center" wrapText="1"/>
    </xf>
    <xf numFmtId="0" fontId="2" fillId="3" borderId="37" xfId="0" applyFont="1" applyFill="1" applyBorder="1" applyAlignment="1">
      <alignment vertical="center" wrapText="1"/>
    </xf>
    <xf numFmtId="0" fontId="14" fillId="0" borderId="16" xfId="0" applyFont="1" applyBorder="1" applyAlignment="1">
      <alignment horizontal="right" vertical="center" wrapText="1" readingOrder="1"/>
    </xf>
    <xf numFmtId="0" fontId="9" fillId="3" borderId="37" xfId="0" applyFont="1" applyFill="1" applyBorder="1" applyAlignment="1">
      <alignment horizontal="justify" vertical="center" wrapText="1"/>
    </xf>
    <xf numFmtId="0" fontId="2" fillId="3" borderId="37" xfId="0" applyFont="1" applyFill="1" applyBorder="1" applyAlignment="1">
      <alignment vertical="center" wrapText="1"/>
    </xf>
    <xf numFmtId="0" fontId="2" fillId="0" borderId="40" xfId="0" applyNumberFormat="1" applyFont="1" applyFill="1" applyBorder="1" applyAlignment="1">
      <alignment horizontal="left" vertical="center" wrapText="1"/>
    </xf>
    <xf numFmtId="0" fontId="12" fillId="0" borderId="0" xfId="0" applyFont="1" applyBorder="1" applyAlignment="1">
      <alignment vertical="center" wrapText="1"/>
    </xf>
    <xf numFmtId="0" fontId="12" fillId="0" borderId="11" xfId="0" applyFont="1" applyBorder="1" applyAlignment="1">
      <alignment vertical="center" wrapText="1"/>
    </xf>
    <xf numFmtId="0" fontId="12" fillId="0" borderId="0" xfId="0" applyFont="1" applyAlignment="1">
      <alignment horizontal="right" vertical="center"/>
    </xf>
    <xf numFmtId="0" fontId="12" fillId="0" borderId="0" xfId="0" applyFont="1" applyBorder="1" applyAlignment="1">
      <alignment horizontal="right" vertical="center"/>
    </xf>
    <xf numFmtId="0" fontId="15" fillId="3" borderId="20" xfId="0" applyFont="1" applyFill="1" applyBorder="1" applyAlignment="1">
      <alignment horizontal="right" vertical="top"/>
    </xf>
    <xf numFmtId="0" fontId="15" fillId="4" borderId="47" xfId="0" applyFont="1" applyFill="1" applyBorder="1" applyAlignment="1">
      <alignment horizontal="center" vertical="center" readingOrder="1"/>
    </xf>
    <xf numFmtId="0" fontId="15" fillId="4" borderId="48" xfId="0" applyFont="1" applyFill="1" applyBorder="1" applyAlignment="1">
      <alignment horizontal="center" vertical="center" wrapText="1" readingOrder="1"/>
    </xf>
    <xf numFmtId="0" fontId="12" fillId="3" borderId="0" xfId="0" applyFont="1" applyFill="1" applyBorder="1" applyAlignment="1">
      <alignment horizontal="right" vertical="center"/>
    </xf>
    <xf numFmtId="0" fontId="12" fillId="3" borderId="0" xfId="0" applyFont="1" applyFill="1" applyBorder="1">
      <alignment vertical="center"/>
    </xf>
    <xf numFmtId="0" fontId="12" fillId="3" borderId="0" xfId="0" applyFont="1" applyFill="1" applyBorder="1" applyAlignment="1">
      <alignment vertical="center" wrapText="1"/>
    </xf>
    <xf numFmtId="0" fontId="12" fillId="3" borderId="11" xfId="0" applyFont="1" applyFill="1" applyBorder="1" applyAlignment="1">
      <alignment vertical="center" wrapText="1"/>
    </xf>
    <xf numFmtId="0" fontId="12" fillId="3" borderId="18" xfId="0" applyFont="1" applyFill="1" applyBorder="1" applyAlignment="1">
      <alignment horizontal="right" vertical="center"/>
    </xf>
    <xf numFmtId="0" fontId="12" fillId="3" borderId="18" xfId="0" applyFont="1" applyFill="1" applyBorder="1" applyAlignment="1">
      <alignment vertical="center" wrapText="1"/>
    </xf>
    <xf numFmtId="0" fontId="12" fillId="3" borderId="16" xfId="0" applyFont="1" applyFill="1" applyBorder="1" applyAlignment="1">
      <alignment vertical="center" wrapText="1"/>
    </xf>
    <xf numFmtId="0" fontId="15" fillId="4" borderId="46" xfId="0" applyFont="1" applyFill="1" applyBorder="1" applyAlignment="1">
      <alignment horizontal="center" vertical="center" readingOrder="1"/>
    </xf>
    <xf numFmtId="0" fontId="15" fillId="0" borderId="20" xfId="0" applyFont="1" applyFill="1" applyBorder="1" applyAlignment="1">
      <alignment horizontal="right" vertical="top"/>
    </xf>
    <xf numFmtId="0" fontId="13" fillId="4" borderId="37" xfId="0" applyFont="1" applyFill="1" applyBorder="1" applyAlignment="1">
      <alignment horizontal="center" vertical="center" wrapText="1"/>
    </xf>
    <xf numFmtId="0" fontId="13" fillId="4" borderId="38" xfId="0" applyFont="1" applyFill="1" applyBorder="1" applyAlignment="1">
      <alignment horizontal="center" vertical="center" wrapText="1"/>
    </xf>
    <xf numFmtId="0" fontId="13" fillId="4" borderId="36" xfId="0" applyFont="1" applyFill="1" applyBorder="1" applyAlignment="1">
      <alignment horizontal="center" vertical="center" wrapText="1"/>
    </xf>
    <xf numFmtId="0" fontId="13" fillId="4" borderId="42" xfId="0" applyFont="1" applyFill="1" applyBorder="1" applyAlignment="1">
      <alignment horizontal="center" vertical="center" wrapText="1"/>
    </xf>
    <xf numFmtId="0" fontId="15" fillId="3" borderId="21" xfId="0" applyFont="1" applyFill="1" applyBorder="1" applyAlignment="1">
      <alignment horizontal="center" vertical="center"/>
    </xf>
    <xf numFmtId="0" fontId="15" fillId="3" borderId="18" xfId="0" applyFont="1" applyFill="1" applyBorder="1" applyAlignment="1">
      <alignment horizontal="center" vertical="center"/>
    </xf>
    <xf numFmtId="0" fontId="15" fillId="3" borderId="35"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31" xfId="0" applyFont="1" applyFill="1" applyBorder="1" applyAlignment="1">
      <alignment horizontal="center" vertical="center"/>
    </xf>
    <xf numFmtId="0" fontId="13" fillId="2" borderId="32"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0" xfId="0" applyFont="1" applyFill="1" applyBorder="1" applyAlignment="1">
      <alignment horizontal="center" vertical="center"/>
    </xf>
    <xf numFmtId="0" fontId="13" fillId="2" borderId="25"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26" xfId="0" applyFont="1" applyFill="1" applyBorder="1" applyAlignment="1">
      <alignment horizontal="center" vertical="center"/>
    </xf>
    <xf numFmtId="0" fontId="13" fillId="2" borderId="33" xfId="0" applyFont="1" applyFill="1" applyBorder="1" applyAlignment="1">
      <alignment horizontal="center" vertical="center" textRotation="90"/>
    </xf>
    <xf numFmtId="0" fontId="13" fillId="2" borderId="10" xfId="0" applyFont="1" applyFill="1" applyBorder="1" applyAlignment="1">
      <alignment horizontal="center" vertical="center" textRotation="90"/>
    </xf>
    <xf numFmtId="0" fontId="13" fillId="2" borderId="12" xfId="0" applyFont="1" applyFill="1" applyBorder="1" applyAlignment="1">
      <alignment horizontal="center" vertical="center" textRotation="90"/>
    </xf>
    <xf numFmtId="0" fontId="15" fillId="2" borderId="31" xfId="0" applyFont="1" applyFill="1" applyBorder="1" applyAlignment="1">
      <alignment horizontal="center" textRotation="90" wrapText="1"/>
    </xf>
    <xf numFmtId="0" fontId="15" fillId="2" borderId="0" xfId="0" applyFont="1" applyFill="1" applyBorder="1" applyAlignment="1">
      <alignment horizontal="center" textRotation="90"/>
    </xf>
    <xf numFmtId="0" fontId="15" fillId="2" borderId="2" xfId="0" applyFont="1" applyFill="1" applyBorder="1" applyAlignment="1">
      <alignment horizontal="center" textRotation="90"/>
    </xf>
    <xf numFmtId="0" fontId="15" fillId="2" borderId="31" xfId="0" applyFont="1" applyFill="1" applyBorder="1" applyAlignment="1">
      <alignment horizontal="center" textRotation="90"/>
    </xf>
    <xf numFmtId="0" fontId="15" fillId="4" borderId="43" xfId="0" applyFont="1" applyFill="1" applyBorder="1" applyAlignment="1">
      <alignment horizontal="center" vertical="center"/>
    </xf>
    <xf numFmtId="0" fontId="15" fillId="4" borderId="44" xfId="0" applyFont="1" applyFill="1" applyBorder="1" applyAlignment="1">
      <alignment horizontal="center" vertical="center"/>
    </xf>
    <xf numFmtId="0" fontId="15" fillId="4" borderId="45" xfId="0" applyFont="1" applyFill="1" applyBorder="1" applyAlignment="1">
      <alignment horizontal="center" vertical="center"/>
    </xf>
    <xf numFmtId="0" fontId="14" fillId="0" borderId="24" xfId="0" applyFont="1" applyBorder="1" applyAlignment="1">
      <alignment horizontal="center" vertical="center" wrapText="1" readingOrder="1"/>
    </xf>
    <xf numFmtId="0" fontId="14" fillId="0" borderId="8" xfId="0" applyFont="1" applyBorder="1" applyAlignment="1">
      <alignment horizontal="center" vertical="center" wrapText="1" readingOrder="1"/>
    </xf>
    <xf numFmtId="0" fontId="14" fillId="0" borderId="23" xfId="0" applyFont="1" applyBorder="1" applyAlignment="1">
      <alignment horizontal="center" vertical="center" wrapText="1" readingOrder="1"/>
    </xf>
    <xf numFmtId="0" fontId="14" fillId="0" borderId="22" xfId="0" applyFont="1" applyBorder="1" applyAlignment="1">
      <alignment horizontal="center" vertical="center" wrapText="1" readingOrder="1"/>
    </xf>
    <xf numFmtId="0" fontId="15" fillId="3" borderId="20" xfId="0" applyFont="1" applyFill="1" applyBorder="1" applyAlignment="1">
      <alignment horizontal="right" vertical="top"/>
    </xf>
    <xf numFmtId="0" fontId="15" fillId="0" borderId="20" xfId="0" applyFont="1" applyFill="1" applyBorder="1" applyAlignment="1">
      <alignment horizontal="right" vertical="top"/>
    </xf>
    <xf numFmtId="0" fontId="15" fillId="3" borderId="21" xfId="0" applyFont="1" applyFill="1" applyBorder="1" applyAlignment="1">
      <alignment horizontal="right" vertical="top"/>
    </xf>
    <xf numFmtId="0" fontId="15" fillId="3" borderId="7"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9" xfId="0" applyFont="1" applyFill="1" applyBorder="1" applyAlignment="1">
      <alignment horizontal="center" vertical="center"/>
    </xf>
    <xf numFmtId="0" fontId="15" fillId="2" borderId="6" xfId="0" applyFont="1" applyFill="1" applyBorder="1" applyAlignment="1">
      <alignment horizontal="center" textRotation="90"/>
    </xf>
    <xf numFmtId="0" fontId="15" fillId="2" borderId="3" xfId="0" applyFont="1" applyFill="1" applyBorder="1" applyAlignment="1">
      <alignment horizontal="center" textRotation="90"/>
    </xf>
    <xf numFmtId="0" fontId="15" fillId="2" borderId="4" xfId="0" applyFont="1" applyFill="1" applyBorder="1" applyAlignment="1">
      <alignment horizontal="center" textRotation="90"/>
    </xf>
  </cellXfs>
  <cellStyles count="3">
    <cellStyle name="標準" xfId="0" builtinId="0"/>
    <cellStyle name="標準 2" xfId="2"/>
    <cellStyle name="標準 3" xfId="1"/>
  </cellStyles>
  <dxfs count="0"/>
  <tableStyles count="0" defaultTableStyle="TableStyleMedium9" defaultPivotStyle="PivotStyleLight16"/>
  <colors>
    <mruColors>
      <color rgb="FFFFD9D9"/>
      <color rgb="FFFF9F9F"/>
      <color rgb="FF00ACC6"/>
      <color rgb="FFFF2020"/>
      <color rgb="FFFF4040"/>
      <color rgb="FF00C000"/>
      <color rgb="FF00A000"/>
      <color rgb="FF00849A"/>
      <color rgb="FFA83800"/>
      <color rgb="FFC04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xdr:row>
      <xdr:rowOff>0</xdr:rowOff>
    </xdr:from>
    <xdr:to>
      <xdr:col>17</xdr:col>
      <xdr:colOff>0</xdr:colOff>
      <xdr:row>26</xdr:row>
      <xdr:rowOff>2523</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srcRect r="2916"/>
        <a:stretch/>
      </xdr:blipFill>
      <xdr:spPr>
        <a:xfrm>
          <a:off x="6350000" y="148167"/>
          <a:ext cx="4445000" cy="3706689"/>
        </a:xfrm>
        <a:prstGeom prst="rect">
          <a:avLst/>
        </a:prstGeom>
      </xdr:spPr>
    </xdr:pic>
    <xdr:clientData/>
  </xdr:twoCellAnchor>
  <xdr:twoCellAnchor editAs="oneCell">
    <xdr:from>
      <xdr:col>0</xdr:col>
      <xdr:colOff>0</xdr:colOff>
      <xdr:row>1</xdr:row>
      <xdr:rowOff>0</xdr:rowOff>
    </xdr:from>
    <xdr:to>
      <xdr:col>10</xdr:col>
      <xdr:colOff>2583</xdr:colOff>
      <xdr:row>26</xdr:row>
      <xdr:rowOff>2523</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cstate="print"/>
        <a:stretch>
          <a:fillRect/>
        </a:stretch>
      </xdr:blipFill>
      <xdr:spPr>
        <a:xfrm>
          <a:off x="0" y="148167"/>
          <a:ext cx="6352583" cy="370668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2"/>
  <sheetViews>
    <sheetView tabSelected="1" zoomScale="70" zoomScaleNormal="70" workbookViewId="0">
      <pane xSplit="3" ySplit="2" topLeftCell="K3" activePane="bottomRight" state="frozen"/>
      <selection pane="topRight" activeCell="D1" sqref="D1"/>
      <selection pane="bottomLeft" activeCell="A3" sqref="A3"/>
      <selection pane="bottomRight" activeCell="R164" sqref="R164"/>
    </sheetView>
  </sheetViews>
  <sheetFormatPr defaultColWidth="8.84375" defaultRowHeight="14.15" x14ac:dyDescent="0.25"/>
  <cols>
    <col min="1" max="1" width="9.4609375" style="26" bestFit="1" customWidth="1"/>
    <col min="2" max="2" width="6.4609375" style="27" bestFit="1" customWidth="1"/>
    <col min="3" max="3" width="18.84375" style="28" customWidth="1"/>
    <col min="4" max="4" width="15.4609375" style="28" customWidth="1"/>
    <col min="5" max="7" width="10.69140625" style="29" customWidth="1"/>
    <col min="8" max="8" width="6.07421875" style="36" customWidth="1"/>
    <col min="9" max="10" width="20.4609375" style="28" customWidth="1"/>
    <col min="11" max="11" width="27.765625" style="27" customWidth="1"/>
    <col min="12" max="13" width="27.765625" style="31" customWidth="1"/>
    <col min="14" max="14" width="27.765625" style="32" customWidth="1"/>
    <col min="15" max="15" width="11.07421875" style="28" customWidth="1"/>
    <col min="16" max="16" width="16.4609375" style="28" customWidth="1"/>
    <col min="17" max="17" width="13.765625" style="33" customWidth="1"/>
    <col min="18" max="18" width="22.765625" style="2" customWidth="1"/>
    <col min="19" max="16384" width="8.84375" style="2"/>
  </cols>
  <sheetData>
    <row r="1" spans="1:18" s="45" customFormat="1" ht="15" x14ac:dyDescent="0.25">
      <c r="A1" s="76" t="s">
        <v>399</v>
      </c>
      <c r="B1" s="74"/>
      <c r="C1" s="74" t="s">
        <v>0</v>
      </c>
      <c r="D1" s="74" t="s">
        <v>332</v>
      </c>
      <c r="E1" s="75" t="s">
        <v>132</v>
      </c>
      <c r="F1" s="75"/>
      <c r="G1" s="75"/>
      <c r="H1" s="75"/>
      <c r="I1" s="74" t="s">
        <v>3</v>
      </c>
      <c r="J1" s="74" t="s">
        <v>2</v>
      </c>
      <c r="K1" s="74" t="s">
        <v>293</v>
      </c>
      <c r="L1" s="74" t="s">
        <v>238</v>
      </c>
      <c r="M1" s="74" t="s">
        <v>433</v>
      </c>
      <c r="N1" s="74" t="s">
        <v>133</v>
      </c>
      <c r="O1" s="75" t="s">
        <v>294</v>
      </c>
      <c r="P1" s="75"/>
      <c r="Q1" s="75"/>
      <c r="R1" s="45" t="s">
        <v>1513</v>
      </c>
    </row>
    <row r="2" spans="1:18" s="48" customFormat="1" x14ac:dyDescent="0.25">
      <c r="A2" s="77"/>
      <c r="B2" s="75"/>
      <c r="C2" s="75"/>
      <c r="D2" s="75"/>
      <c r="E2" s="46" t="s">
        <v>134</v>
      </c>
      <c r="F2" s="46" t="s">
        <v>135</v>
      </c>
      <c r="G2" s="46" t="s">
        <v>136</v>
      </c>
      <c r="H2" s="47" t="s">
        <v>197</v>
      </c>
      <c r="I2" s="75"/>
      <c r="J2" s="75"/>
      <c r="K2" s="75"/>
      <c r="L2" s="75"/>
      <c r="M2" s="75"/>
      <c r="N2" s="75"/>
      <c r="O2" s="46" t="s">
        <v>295</v>
      </c>
      <c r="P2" s="47" t="s">
        <v>4</v>
      </c>
      <c r="Q2" s="46" t="s">
        <v>1</v>
      </c>
      <c r="R2" s="48" t="s">
        <v>1512</v>
      </c>
    </row>
    <row r="3" spans="1:18" s="38" customFormat="1" ht="84" x14ac:dyDescent="0.25">
      <c r="A3" s="37"/>
      <c r="C3" s="52" t="s">
        <v>443</v>
      </c>
      <c r="D3" s="56"/>
      <c r="E3" s="39"/>
      <c r="F3" s="39" t="s">
        <v>1123</v>
      </c>
      <c r="G3" s="39"/>
      <c r="H3" s="40" t="s">
        <v>444</v>
      </c>
      <c r="I3" s="52" t="s">
        <v>445</v>
      </c>
      <c r="J3" s="52" t="s">
        <v>446</v>
      </c>
      <c r="K3" s="52"/>
      <c r="L3" s="41" t="s">
        <v>976</v>
      </c>
      <c r="M3" s="41"/>
      <c r="N3" s="42" t="s">
        <v>447</v>
      </c>
      <c r="O3" s="52"/>
      <c r="P3" s="52"/>
      <c r="Q3" s="52"/>
      <c r="R3" s="38" t="s">
        <v>1341</v>
      </c>
    </row>
    <row r="4" spans="1:18" ht="70.75" x14ac:dyDescent="0.25">
      <c r="A4" s="26" t="s">
        <v>333</v>
      </c>
      <c r="B4" s="27" t="s">
        <v>320</v>
      </c>
      <c r="C4" s="28" t="s">
        <v>1096</v>
      </c>
      <c r="D4" s="28" t="s">
        <v>850</v>
      </c>
      <c r="E4" s="49">
        <v>40382</v>
      </c>
      <c r="F4" s="49">
        <v>38709</v>
      </c>
      <c r="G4" s="49">
        <v>39223</v>
      </c>
      <c r="H4" s="34" t="s">
        <v>228</v>
      </c>
      <c r="I4" s="28" t="s">
        <v>301</v>
      </c>
      <c r="J4" s="28" t="s">
        <v>7</v>
      </c>
      <c r="K4" s="28" t="s">
        <v>246</v>
      </c>
      <c r="L4" s="31" t="s">
        <v>1097</v>
      </c>
      <c r="N4" s="32" t="s">
        <v>448</v>
      </c>
      <c r="O4" s="28" t="s">
        <v>449</v>
      </c>
      <c r="P4" s="28" t="s">
        <v>8</v>
      </c>
      <c r="R4" s="2" t="s">
        <v>1342</v>
      </c>
    </row>
    <row r="5" spans="1:18" s="38" customFormat="1" ht="28.3" x14ac:dyDescent="0.25">
      <c r="A5" s="37" t="s">
        <v>334</v>
      </c>
      <c r="B5" s="38" t="s">
        <v>321</v>
      </c>
      <c r="C5" s="52" t="s">
        <v>26</v>
      </c>
      <c r="D5" s="52" t="s">
        <v>851</v>
      </c>
      <c r="E5" s="39"/>
      <c r="F5" s="50">
        <v>34690</v>
      </c>
      <c r="G5" s="50">
        <v>42202</v>
      </c>
      <c r="H5" s="43" t="s">
        <v>228</v>
      </c>
      <c r="I5" s="52" t="s">
        <v>27</v>
      </c>
      <c r="J5" s="52" t="s">
        <v>450</v>
      </c>
      <c r="K5" s="52" t="s">
        <v>247</v>
      </c>
      <c r="L5" s="41" t="s">
        <v>1098</v>
      </c>
      <c r="M5" s="41"/>
      <c r="N5" s="42" t="s">
        <v>451</v>
      </c>
      <c r="O5" s="52" t="s">
        <v>452</v>
      </c>
      <c r="P5" s="52" t="s">
        <v>110</v>
      </c>
      <c r="Q5" s="52"/>
      <c r="R5" s="38" t="s">
        <v>1343</v>
      </c>
    </row>
    <row r="6" spans="1:18" ht="99" x14ac:dyDescent="0.25">
      <c r="C6" s="28" t="s">
        <v>453</v>
      </c>
      <c r="F6" s="29" t="s">
        <v>455</v>
      </c>
      <c r="H6" s="35" t="s">
        <v>456</v>
      </c>
      <c r="I6" s="28" t="s">
        <v>457</v>
      </c>
      <c r="J6" s="28" t="s">
        <v>38</v>
      </c>
      <c r="K6" s="28"/>
      <c r="L6" s="31" t="s">
        <v>1099</v>
      </c>
      <c r="N6" s="32" t="s">
        <v>458</v>
      </c>
      <c r="R6" s="2" t="s">
        <v>1344</v>
      </c>
    </row>
    <row r="7" spans="1:18" s="38" customFormat="1" ht="28.3" x14ac:dyDescent="0.25">
      <c r="A7" s="37" t="s">
        <v>335</v>
      </c>
      <c r="B7" s="38" t="s">
        <v>320</v>
      </c>
      <c r="C7" s="52" t="s">
        <v>28</v>
      </c>
      <c r="D7" s="52" t="s">
        <v>852</v>
      </c>
      <c r="E7" s="39"/>
      <c r="F7" s="39"/>
      <c r="G7" s="39" t="s">
        <v>1124</v>
      </c>
      <c r="H7" s="40" t="s">
        <v>1136</v>
      </c>
      <c r="I7" s="52"/>
      <c r="J7" s="52"/>
      <c r="K7" s="52"/>
      <c r="L7" s="41"/>
      <c r="M7" s="41"/>
      <c r="N7" s="42"/>
      <c r="O7" s="52"/>
      <c r="P7" s="52"/>
      <c r="Q7" s="52"/>
      <c r="R7" s="38" t="s">
        <v>1345</v>
      </c>
    </row>
    <row r="8" spans="1:18" ht="212.15" x14ac:dyDescent="0.25">
      <c r="A8" s="26" t="s">
        <v>335</v>
      </c>
      <c r="B8" s="27" t="s">
        <v>320</v>
      </c>
      <c r="C8" s="28" t="s">
        <v>853</v>
      </c>
      <c r="D8" s="28" t="s">
        <v>854</v>
      </c>
      <c r="E8" s="49">
        <v>39554</v>
      </c>
      <c r="F8" s="49">
        <v>37621</v>
      </c>
      <c r="G8" s="49">
        <v>37872</v>
      </c>
      <c r="H8" s="34" t="s">
        <v>228</v>
      </c>
      <c r="I8" s="28" t="s">
        <v>1145</v>
      </c>
      <c r="J8" s="28" t="s">
        <v>1143</v>
      </c>
      <c r="K8" s="28" t="s">
        <v>248</v>
      </c>
      <c r="L8" s="31" t="s">
        <v>1147</v>
      </c>
      <c r="M8" s="31" t="s">
        <v>1100</v>
      </c>
      <c r="N8" s="32" t="s">
        <v>459</v>
      </c>
      <c r="O8" s="28" t="s">
        <v>1221</v>
      </c>
      <c r="P8" s="28" t="s">
        <v>460</v>
      </c>
      <c r="Q8" s="33" t="s">
        <v>9</v>
      </c>
      <c r="R8" s="2" t="s">
        <v>1346</v>
      </c>
    </row>
    <row r="9" spans="1:18" s="38" customFormat="1" ht="212.15" x14ac:dyDescent="0.25">
      <c r="A9" s="37" t="s">
        <v>335</v>
      </c>
      <c r="B9" s="38" t="s">
        <v>320</v>
      </c>
      <c r="C9" s="52" t="s">
        <v>855</v>
      </c>
      <c r="D9" s="52" t="s">
        <v>856</v>
      </c>
      <c r="E9" s="39"/>
      <c r="F9" s="50">
        <v>42636</v>
      </c>
      <c r="G9" s="39"/>
      <c r="H9" s="43" t="s">
        <v>1135</v>
      </c>
      <c r="I9" s="52" t="s">
        <v>1144</v>
      </c>
      <c r="J9" s="52" t="s">
        <v>5</v>
      </c>
      <c r="K9" s="52" t="s">
        <v>248</v>
      </c>
      <c r="L9" s="41" t="s">
        <v>1155</v>
      </c>
      <c r="M9" s="41"/>
      <c r="N9" s="42" t="s">
        <v>1146</v>
      </c>
      <c r="O9" s="52" t="s">
        <v>1221</v>
      </c>
      <c r="P9" s="52" t="s">
        <v>460</v>
      </c>
      <c r="Q9" s="52" t="s">
        <v>9</v>
      </c>
      <c r="R9" s="38" t="s">
        <v>1347</v>
      </c>
    </row>
    <row r="10" spans="1:18" ht="68.150000000000006" x14ac:dyDescent="0.25">
      <c r="C10" s="28" t="s">
        <v>461</v>
      </c>
      <c r="F10" s="29" t="s">
        <v>462</v>
      </c>
      <c r="H10" s="35" t="s">
        <v>463</v>
      </c>
      <c r="I10" s="28" t="s">
        <v>74</v>
      </c>
      <c r="J10" s="28" t="s">
        <v>464</v>
      </c>
      <c r="K10" s="28"/>
      <c r="L10" s="31" t="s">
        <v>977</v>
      </c>
      <c r="N10" s="32" t="s">
        <v>465</v>
      </c>
      <c r="R10" s="2" t="s">
        <v>1348</v>
      </c>
    </row>
    <row r="11" spans="1:18" s="38" customFormat="1" ht="108.9" x14ac:dyDescent="0.25">
      <c r="A11" s="37" t="s">
        <v>336</v>
      </c>
      <c r="B11" s="38" t="s">
        <v>320</v>
      </c>
      <c r="C11" s="52" t="s">
        <v>466</v>
      </c>
      <c r="D11" s="52"/>
      <c r="E11" s="39"/>
      <c r="F11" s="39" t="s">
        <v>462</v>
      </c>
      <c r="G11" s="39"/>
      <c r="H11" s="44" t="s">
        <v>463</v>
      </c>
      <c r="I11" s="52" t="s">
        <v>467</v>
      </c>
      <c r="J11" s="52" t="s">
        <v>5</v>
      </c>
      <c r="K11" s="52"/>
      <c r="L11" s="41" t="s">
        <v>978</v>
      </c>
      <c r="M11" s="41"/>
      <c r="N11" s="42" t="s">
        <v>468</v>
      </c>
      <c r="O11" s="52" t="s">
        <v>469</v>
      </c>
      <c r="P11" s="52" t="s">
        <v>460</v>
      </c>
      <c r="Q11" s="52"/>
      <c r="R11" s="38" t="s">
        <v>1349</v>
      </c>
    </row>
    <row r="12" spans="1:18" ht="127.3" x14ac:dyDescent="0.25">
      <c r="A12" s="26" t="s">
        <v>337</v>
      </c>
      <c r="B12" s="27" t="s">
        <v>323</v>
      </c>
      <c r="C12" s="28" t="s">
        <v>1101</v>
      </c>
      <c r="D12" s="28" t="s">
        <v>470</v>
      </c>
      <c r="E12" s="49">
        <v>41180</v>
      </c>
      <c r="F12" s="49">
        <v>40865</v>
      </c>
      <c r="G12" s="49">
        <v>41235</v>
      </c>
      <c r="H12" s="34" t="s">
        <v>228</v>
      </c>
      <c r="I12" s="28" t="s">
        <v>471</v>
      </c>
      <c r="J12" s="28" t="s">
        <v>472</v>
      </c>
      <c r="K12" s="28" t="s">
        <v>249</v>
      </c>
      <c r="L12" s="51" t="s">
        <v>1248</v>
      </c>
      <c r="N12" s="57" t="s">
        <v>473</v>
      </c>
      <c r="O12" s="28" t="s">
        <v>474</v>
      </c>
      <c r="P12" s="28" t="s">
        <v>475</v>
      </c>
      <c r="R12" s="2" t="s">
        <v>1350</v>
      </c>
    </row>
    <row r="13" spans="1:18" s="38" customFormat="1" ht="226.3" x14ac:dyDescent="0.25">
      <c r="A13" s="37" t="s">
        <v>338</v>
      </c>
      <c r="B13" s="38" t="s">
        <v>322</v>
      </c>
      <c r="C13" s="52" t="s">
        <v>52</v>
      </c>
      <c r="D13" s="52" t="s">
        <v>476</v>
      </c>
      <c r="E13" s="50"/>
      <c r="F13" s="50">
        <v>41124</v>
      </c>
      <c r="G13" s="50">
        <v>41306</v>
      </c>
      <c r="H13" s="43" t="s">
        <v>228</v>
      </c>
      <c r="I13" s="52" t="s">
        <v>477</v>
      </c>
      <c r="J13" s="52" t="s">
        <v>478</v>
      </c>
      <c r="K13" s="52" t="s">
        <v>249</v>
      </c>
      <c r="L13" s="41" t="s">
        <v>979</v>
      </c>
      <c r="M13" s="41" t="s">
        <v>436</v>
      </c>
      <c r="N13" s="42" t="s">
        <v>479</v>
      </c>
      <c r="O13" s="52" t="s">
        <v>474</v>
      </c>
      <c r="P13" s="52" t="s">
        <v>480</v>
      </c>
      <c r="Q13" s="52"/>
      <c r="R13" s="38" t="s">
        <v>1351</v>
      </c>
    </row>
    <row r="14" spans="1:18" ht="70.75" x14ac:dyDescent="0.25">
      <c r="A14" s="26" t="s">
        <v>339</v>
      </c>
      <c r="B14" s="27" t="s">
        <v>320</v>
      </c>
      <c r="C14" s="28" t="s">
        <v>29</v>
      </c>
      <c r="D14" s="28" t="s">
        <v>481</v>
      </c>
      <c r="F14" s="49">
        <v>37651</v>
      </c>
      <c r="H14" s="34" t="s">
        <v>228</v>
      </c>
      <c r="I14" s="28" t="s">
        <v>74</v>
      </c>
      <c r="J14" s="28" t="s">
        <v>482</v>
      </c>
      <c r="K14" s="28" t="s">
        <v>250</v>
      </c>
      <c r="L14" s="31" t="s">
        <v>980</v>
      </c>
      <c r="N14" s="32" t="s">
        <v>483</v>
      </c>
      <c r="O14" s="28" t="s">
        <v>484</v>
      </c>
      <c r="P14" s="28" t="s">
        <v>485</v>
      </c>
      <c r="R14" s="2" t="s">
        <v>1352</v>
      </c>
    </row>
    <row r="15" spans="1:18" s="38" customFormat="1" ht="42.45" x14ac:dyDescent="0.25">
      <c r="A15" s="37" t="s">
        <v>340</v>
      </c>
      <c r="B15" s="38" t="s">
        <v>320</v>
      </c>
      <c r="C15" s="52" t="s">
        <v>30</v>
      </c>
      <c r="D15" s="52" t="s">
        <v>857</v>
      </c>
      <c r="E15" s="39"/>
      <c r="F15" s="50">
        <v>37018</v>
      </c>
      <c r="G15" s="50">
        <v>41529</v>
      </c>
      <c r="H15" s="43" t="s">
        <v>228</v>
      </c>
      <c r="I15" s="52" t="s">
        <v>486</v>
      </c>
      <c r="J15" s="52" t="s">
        <v>487</v>
      </c>
      <c r="K15" s="52" t="s">
        <v>1151</v>
      </c>
      <c r="L15" s="41" t="s">
        <v>981</v>
      </c>
      <c r="M15" s="41"/>
      <c r="N15" s="42" t="s">
        <v>200</v>
      </c>
      <c r="O15" s="52" t="s">
        <v>488</v>
      </c>
      <c r="P15" s="52" t="s">
        <v>1149</v>
      </c>
      <c r="Q15" s="52"/>
      <c r="R15" s="38" t="s">
        <v>1353</v>
      </c>
    </row>
    <row r="16" spans="1:18" ht="41.6" x14ac:dyDescent="0.25">
      <c r="A16" s="26" t="s">
        <v>340</v>
      </c>
      <c r="B16" s="27" t="s">
        <v>320</v>
      </c>
      <c r="C16" s="28" t="s">
        <v>858</v>
      </c>
      <c r="D16" s="28" t="s">
        <v>1219</v>
      </c>
      <c r="E16" s="49">
        <v>41908</v>
      </c>
      <c r="F16" s="49">
        <v>37018</v>
      </c>
      <c r="G16" s="29" t="s">
        <v>1125</v>
      </c>
      <c r="H16" s="34" t="s">
        <v>1135</v>
      </c>
      <c r="I16" s="28" t="s">
        <v>1153</v>
      </c>
      <c r="J16" s="28" t="s">
        <v>1150</v>
      </c>
      <c r="K16" s="28" t="s">
        <v>1152</v>
      </c>
      <c r="L16" s="31" t="s">
        <v>1156</v>
      </c>
      <c r="N16" s="32" t="s">
        <v>1154</v>
      </c>
      <c r="O16" s="28" t="s">
        <v>1148</v>
      </c>
      <c r="P16" s="28" t="s">
        <v>489</v>
      </c>
      <c r="R16" s="2" t="s">
        <v>1354</v>
      </c>
    </row>
    <row r="17" spans="1:18" s="38" customFormat="1" ht="84.9" x14ac:dyDescent="0.25">
      <c r="A17" s="37" t="s">
        <v>490</v>
      </c>
      <c r="B17" s="38" t="s">
        <v>326</v>
      </c>
      <c r="C17" s="52" t="s">
        <v>859</v>
      </c>
      <c r="D17" s="52" t="s">
        <v>860</v>
      </c>
      <c r="E17" s="50">
        <v>42555</v>
      </c>
      <c r="F17" s="50">
        <v>42209</v>
      </c>
      <c r="G17" s="50">
        <v>42270</v>
      </c>
      <c r="H17" s="43" t="s">
        <v>228</v>
      </c>
      <c r="I17" s="52" t="s">
        <v>305</v>
      </c>
      <c r="J17" s="52" t="s">
        <v>122</v>
      </c>
      <c r="K17" s="52" t="s">
        <v>491</v>
      </c>
      <c r="L17" s="41" t="s">
        <v>1102</v>
      </c>
      <c r="M17" s="41"/>
      <c r="N17" s="42" t="s">
        <v>492</v>
      </c>
      <c r="O17" s="52" t="s">
        <v>1220</v>
      </c>
      <c r="P17" s="52" t="s">
        <v>493</v>
      </c>
      <c r="Q17" s="52"/>
      <c r="R17" s="38" t="s">
        <v>1355</v>
      </c>
    </row>
    <row r="18" spans="1:18" ht="70.75" x14ac:dyDescent="0.25">
      <c r="A18" s="26" t="s">
        <v>490</v>
      </c>
      <c r="B18" s="27" t="s">
        <v>326</v>
      </c>
      <c r="C18" s="28" t="s">
        <v>982</v>
      </c>
      <c r="D18" s="28" t="s">
        <v>494</v>
      </c>
      <c r="H18" s="30" t="s">
        <v>495</v>
      </c>
      <c r="K18" s="28"/>
      <c r="N18" s="32" t="s">
        <v>496</v>
      </c>
      <c r="R18" s="2" t="s">
        <v>1356</v>
      </c>
    </row>
    <row r="19" spans="1:18" s="38" customFormat="1" ht="54.9" x14ac:dyDescent="0.25">
      <c r="A19" s="37"/>
      <c r="C19" s="52" t="s">
        <v>497</v>
      </c>
      <c r="D19" s="52"/>
      <c r="E19" s="39"/>
      <c r="F19" s="39" t="s">
        <v>455</v>
      </c>
      <c r="G19" s="39"/>
      <c r="H19" s="44" t="s">
        <v>456</v>
      </c>
      <c r="I19" s="52" t="s">
        <v>302</v>
      </c>
      <c r="J19" s="52" t="s">
        <v>48</v>
      </c>
      <c r="K19" s="52"/>
      <c r="L19" s="41" t="s">
        <v>983</v>
      </c>
      <c r="M19" s="41"/>
      <c r="N19" s="42" t="s">
        <v>123</v>
      </c>
      <c r="O19" s="52"/>
      <c r="P19" s="52"/>
      <c r="Q19" s="52"/>
      <c r="R19" s="38" t="s">
        <v>1357</v>
      </c>
    </row>
    <row r="20" spans="1:18" ht="93.9" x14ac:dyDescent="0.25">
      <c r="C20" s="28" t="s">
        <v>498</v>
      </c>
      <c r="F20" s="29" t="s">
        <v>455</v>
      </c>
      <c r="H20" s="35" t="s">
        <v>456</v>
      </c>
      <c r="I20" s="28" t="s">
        <v>105</v>
      </c>
      <c r="J20" s="28" t="s">
        <v>124</v>
      </c>
      <c r="K20" s="28"/>
      <c r="L20" s="31" t="s">
        <v>984</v>
      </c>
      <c r="N20" s="32" t="s">
        <v>125</v>
      </c>
      <c r="R20" s="2" t="s">
        <v>1358</v>
      </c>
    </row>
    <row r="21" spans="1:18" s="38" customFormat="1" ht="141.44999999999999" x14ac:dyDescent="0.25">
      <c r="A21" s="37"/>
      <c r="C21" s="52" t="s">
        <v>499</v>
      </c>
      <c r="D21" s="52"/>
      <c r="E21" s="39"/>
      <c r="F21" s="39" t="s">
        <v>462</v>
      </c>
      <c r="G21" s="39"/>
      <c r="H21" s="44" t="s">
        <v>463</v>
      </c>
      <c r="I21" s="52" t="s">
        <v>500</v>
      </c>
      <c r="J21" s="52" t="s">
        <v>501</v>
      </c>
      <c r="K21" s="52" t="s">
        <v>229</v>
      </c>
      <c r="L21" s="41" t="s">
        <v>985</v>
      </c>
      <c r="M21" s="41"/>
      <c r="N21" s="42" t="s">
        <v>502</v>
      </c>
      <c r="O21" s="52"/>
      <c r="P21" s="52"/>
      <c r="Q21" s="52"/>
      <c r="R21" s="38" t="s">
        <v>1359</v>
      </c>
    </row>
    <row r="22" spans="1:18" ht="84.9" x14ac:dyDescent="0.25">
      <c r="A22" s="26" t="s">
        <v>341</v>
      </c>
      <c r="B22" s="27" t="s">
        <v>324</v>
      </c>
      <c r="C22" s="28" t="s">
        <v>503</v>
      </c>
      <c r="D22" s="28" t="s">
        <v>861</v>
      </c>
      <c r="F22" s="49">
        <v>35244</v>
      </c>
      <c r="G22" s="29" t="s">
        <v>1126</v>
      </c>
      <c r="H22" s="30" t="s">
        <v>495</v>
      </c>
      <c r="I22" s="28" t="s">
        <v>31</v>
      </c>
      <c r="J22" s="28" t="s">
        <v>504</v>
      </c>
      <c r="K22" s="28"/>
      <c r="L22" s="31" t="s">
        <v>1103</v>
      </c>
      <c r="N22" s="32" t="s">
        <v>505</v>
      </c>
      <c r="O22" s="28" t="s">
        <v>506</v>
      </c>
      <c r="R22" s="2" t="s">
        <v>1360</v>
      </c>
    </row>
    <row r="23" spans="1:18" s="38" customFormat="1" ht="123.9" x14ac:dyDescent="0.25">
      <c r="A23" s="37"/>
      <c r="C23" s="52" t="s">
        <v>507</v>
      </c>
      <c r="D23" s="52" t="s">
        <v>862</v>
      </c>
      <c r="E23" s="39"/>
      <c r="F23" s="50">
        <v>42508</v>
      </c>
      <c r="G23" s="39"/>
      <c r="H23" s="43" t="s">
        <v>1137</v>
      </c>
      <c r="I23" s="52" t="s">
        <v>508</v>
      </c>
      <c r="J23" s="52" t="s">
        <v>128</v>
      </c>
      <c r="K23" s="52"/>
      <c r="L23" s="41" t="s">
        <v>986</v>
      </c>
      <c r="M23" s="41"/>
      <c r="N23" s="42" t="s">
        <v>127</v>
      </c>
      <c r="O23" s="52" t="s">
        <v>1222</v>
      </c>
      <c r="P23" s="52"/>
      <c r="Q23" s="52"/>
      <c r="R23" s="38" t="s">
        <v>1361</v>
      </c>
    </row>
    <row r="24" spans="1:18" ht="70.75" x14ac:dyDescent="0.25">
      <c r="C24" s="28" t="s">
        <v>129</v>
      </c>
      <c r="F24" s="29" t="s">
        <v>899</v>
      </c>
      <c r="H24" s="30" t="s">
        <v>444</v>
      </c>
      <c r="I24" s="28" t="s">
        <v>74</v>
      </c>
      <c r="J24" s="28" t="s">
        <v>75</v>
      </c>
      <c r="K24" s="28"/>
      <c r="L24" s="31" t="s">
        <v>987</v>
      </c>
      <c r="N24" s="32" t="s">
        <v>509</v>
      </c>
      <c r="R24" s="2" t="s">
        <v>1362</v>
      </c>
    </row>
    <row r="25" spans="1:18" s="38" customFormat="1" ht="56.6" x14ac:dyDescent="0.25">
      <c r="A25" s="37" t="s">
        <v>342</v>
      </c>
      <c r="B25" s="38" t="s">
        <v>320</v>
      </c>
      <c r="C25" s="52" t="s">
        <v>863</v>
      </c>
      <c r="D25" s="52" t="s">
        <v>864</v>
      </c>
      <c r="E25" s="50">
        <v>39605</v>
      </c>
      <c r="F25" s="50">
        <v>35927</v>
      </c>
      <c r="G25" s="50">
        <v>36077</v>
      </c>
      <c r="H25" s="43" t="s">
        <v>228</v>
      </c>
      <c r="I25" s="52" t="s">
        <v>108</v>
      </c>
      <c r="J25" s="52" t="s">
        <v>510</v>
      </c>
      <c r="K25" s="52" t="s">
        <v>251</v>
      </c>
      <c r="L25" s="41" t="s">
        <v>988</v>
      </c>
      <c r="M25" s="41"/>
      <c r="N25" s="42" t="s">
        <v>511</v>
      </c>
      <c r="O25" s="52" t="s">
        <v>512</v>
      </c>
      <c r="P25" s="52" t="s">
        <v>513</v>
      </c>
      <c r="Q25" s="52" t="s">
        <v>514</v>
      </c>
      <c r="R25" s="38" t="s">
        <v>1363</v>
      </c>
    </row>
    <row r="26" spans="1:18" ht="81.45" x14ac:dyDescent="0.25">
      <c r="C26" s="28" t="s">
        <v>515</v>
      </c>
      <c r="F26" s="29" t="s">
        <v>462</v>
      </c>
      <c r="H26" s="35" t="s">
        <v>463</v>
      </c>
      <c r="I26" s="28" t="s">
        <v>105</v>
      </c>
      <c r="J26" s="28" t="s">
        <v>61</v>
      </c>
      <c r="K26" s="28"/>
      <c r="L26" s="31" t="s">
        <v>989</v>
      </c>
      <c r="N26" s="32" t="s">
        <v>516</v>
      </c>
      <c r="R26" s="2" t="s">
        <v>1364</v>
      </c>
    </row>
    <row r="27" spans="1:18" s="38" customFormat="1" ht="81.45" x14ac:dyDescent="0.25">
      <c r="A27" s="37" t="s">
        <v>1212</v>
      </c>
      <c r="B27" s="38" t="s">
        <v>320</v>
      </c>
      <c r="C27" s="52" t="s">
        <v>517</v>
      </c>
      <c r="D27" s="52"/>
      <c r="E27" s="39"/>
      <c r="F27" s="39" t="s">
        <v>462</v>
      </c>
      <c r="G27" s="39"/>
      <c r="H27" s="44" t="s">
        <v>463</v>
      </c>
      <c r="I27" s="52" t="s">
        <v>224</v>
      </c>
      <c r="J27" s="52" t="s">
        <v>518</v>
      </c>
      <c r="K27" s="52"/>
      <c r="L27" s="41" t="s">
        <v>990</v>
      </c>
      <c r="M27" s="41"/>
      <c r="N27" s="42" t="s">
        <v>169</v>
      </c>
      <c r="O27" s="52"/>
      <c r="P27" s="52"/>
      <c r="Q27" s="52"/>
      <c r="R27" s="38" t="s">
        <v>1365</v>
      </c>
    </row>
    <row r="28" spans="1:18" ht="56.6" x14ac:dyDescent="0.25">
      <c r="A28" s="26" t="s">
        <v>1212</v>
      </c>
      <c r="B28" s="27" t="s">
        <v>320</v>
      </c>
      <c r="C28" s="28" t="s">
        <v>54</v>
      </c>
      <c r="D28" s="28" t="s">
        <v>865</v>
      </c>
      <c r="F28" s="49">
        <v>40709</v>
      </c>
      <c r="G28" s="49">
        <v>40711</v>
      </c>
      <c r="H28" s="34" t="s">
        <v>228</v>
      </c>
      <c r="I28" s="28" t="s">
        <v>303</v>
      </c>
      <c r="J28" s="28" t="s">
        <v>7</v>
      </c>
      <c r="K28" s="28" t="s">
        <v>252</v>
      </c>
      <c r="L28" s="31" t="s">
        <v>991</v>
      </c>
      <c r="N28" s="32" t="s">
        <v>201</v>
      </c>
      <c r="O28" s="28" t="s">
        <v>519</v>
      </c>
      <c r="P28" s="28" t="s">
        <v>8</v>
      </c>
      <c r="R28" s="2" t="s">
        <v>1366</v>
      </c>
    </row>
    <row r="29" spans="1:18" s="38" customFormat="1" ht="28.3" x14ac:dyDescent="0.25">
      <c r="A29" s="37" t="s">
        <v>343</v>
      </c>
      <c r="B29" s="38" t="s">
        <v>320</v>
      </c>
      <c r="C29" s="52" t="s">
        <v>55</v>
      </c>
      <c r="D29" s="52" t="s">
        <v>866</v>
      </c>
      <c r="E29" s="39"/>
      <c r="F29" s="50">
        <v>40611</v>
      </c>
      <c r="G29" s="50">
        <v>40737</v>
      </c>
      <c r="H29" s="43" t="s">
        <v>228</v>
      </c>
      <c r="I29" s="52" t="s">
        <v>520</v>
      </c>
      <c r="J29" s="52" t="s">
        <v>521</v>
      </c>
      <c r="K29" s="52" t="s">
        <v>253</v>
      </c>
      <c r="L29" s="41" t="s">
        <v>1104</v>
      </c>
      <c r="M29" s="41"/>
      <c r="N29" s="42" t="s">
        <v>202</v>
      </c>
      <c r="O29" s="52" t="s">
        <v>522</v>
      </c>
      <c r="P29" s="52" t="s">
        <v>523</v>
      </c>
      <c r="Q29" s="52"/>
      <c r="R29" s="38" t="s">
        <v>1367</v>
      </c>
    </row>
    <row r="30" spans="1:18" ht="122.15" x14ac:dyDescent="0.25">
      <c r="A30" s="26" t="s">
        <v>344</v>
      </c>
      <c r="B30" s="27" t="s">
        <v>320</v>
      </c>
      <c r="C30" s="28" t="s">
        <v>524</v>
      </c>
      <c r="F30" s="29" t="s">
        <v>462</v>
      </c>
      <c r="H30" s="35" t="s">
        <v>463</v>
      </c>
      <c r="I30" s="28" t="s">
        <v>101</v>
      </c>
      <c r="J30" s="28" t="s">
        <v>525</v>
      </c>
      <c r="K30" s="28" t="s">
        <v>254</v>
      </c>
      <c r="L30" s="31" t="s">
        <v>992</v>
      </c>
      <c r="N30" s="32" t="s">
        <v>170</v>
      </c>
      <c r="R30" s="2" t="s">
        <v>1368</v>
      </c>
    </row>
    <row r="31" spans="1:18" s="38" customFormat="1" ht="155.6" x14ac:dyDescent="0.25">
      <c r="A31" s="37"/>
      <c r="C31" s="52" t="s">
        <v>112</v>
      </c>
      <c r="D31" s="52" t="s">
        <v>867</v>
      </c>
      <c r="E31" s="39"/>
      <c r="F31" s="39"/>
      <c r="G31" s="50">
        <v>40189</v>
      </c>
      <c r="H31" s="43" t="s">
        <v>228</v>
      </c>
      <c r="I31" s="52" t="s">
        <v>398</v>
      </c>
      <c r="J31" s="52" t="s">
        <v>113</v>
      </c>
      <c r="K31" s="52"/>
      <c r="L31" s="41" t="s">
        <v>993</v>
      </c>
      <c r="M31" s="41"/>
      <c r="N31" s="42" t="s">
        <v>400</v>
      </c>
      <c r="O31" s="52"/>
      <c r="P31" s="52" t="s">
        <v>114</v>
      </c>
      <c r="Q31" s="52"/>
      <c r="R31" s="38" t="s">
        <v>1369</v>
      </c>
    </row>
    <row r="32" spans="1:18" ht="113.15" x14ac:dyDescent="0.25">
      <c r="A32" s="26" t="s">
        <v>345</v>
      </c>
      <c r="B32" s="27" t="s">
        <v>322</v>
      </c>
      <c r="C32" s="28" t="s">
        <v>868</v>
      </c>
      <c r="D32" s="28" t="s">
        <v>869</v>
      </c>
      <c r="E32" s="49">
        <v>39190</v>
      </c>
      <c r="F32" s="49">
        <v>38043</v>
      </c>
      <c r="G32" s="49">
        <v>38364</v>
      </c>
      <c r="H32" s="34" t="s">
        <v>228</v>
      </c>
      <c r="I32" s="28" t="s">
        <v>31</v>
      </c>
      <c r="J32" s="28" t="s">
        <v>526</v>
      </c>
      <c r="K32" s="28" t="s">
        <v>255</v>
      </c>
      <c r="L32" s="31" t="s">
        <v>994</v>
      </c>
      <c r="M32" s="31" t="s">
        <v>1193</v>
      </c>
      <c r="N32" s="32" t="s">
        <v>527</v>
      </c>
      <c r="O32" s="28" t="s">
        <v>528</v>
      </c>
      <c r="P32" s="28" t="s">
        <v>529</v>
      </c>
      <c r="R32" s="2" t="s">
        <v>1370</v>
      </c>
    </row>
    <row r="33" spans="1:18" s="38" customFormat="1" ht="40.75" x14ac:dyDescent="0.25">
      <c r="A33" s="37" t="s">
        <v>1209</v>
      </c>
      <c r="B33" s="38" t="s">
        <v>329</v>
      </c>
      <c r="C33" s="52" t="s">
        <v>870</v>
      </c>
      <c r="D33" s="52" t="s">
        <v>871</v>
      </c>
      <c r="E33" s="39"/>
      <c r="F33" s="50">
        <v>42664</v>
      </c>
      <c r="G33" s="39"/>
      <c r="H33" s="43" t="s">
        <v>1135</v>
      </c>
      <c r="I33" s="52"/>
      <c r="J33" s="52" t="s">
        <v>1160</v>
      </c>
      <c r="K33" s="52"/>
      <c r="L33" s="41" t="s">
        <v>1158</v>
      </c>
      <c r="M33" s="41"/>
      <c r="N33" s="42" t="s">
        <v>1159</v>
      </c>
      <c r="O33" s="52" t="s">
        <v>1157</v>
      </c>
      <c r="P33" s="52"/>
      <c r="Q33" s="52"/>
      <c r="R33" s="38" t="s">
        <v>1371</v>
      </c>
    </row>
    <row r="34" spans="1:18" ht="99" x14ac:dyDescent="0.25">
      <c r="C34" s="28" t="s">
        <v>530</v>
      </c>
      <c r="F34" s="29" t="s">
        <v>462</v>
      </c>
      <c r="H34" s="35" t="s">
        <v>463</v>
      </c>
      <c r="I34" s="28" t="s">
        <v>62</v>
      </c>
      <c r="J34" s="28" t="s">
        <v>63</v>
      </c>
      <c r="K34" s="28"/>
      <c r="L34" s="31" t="s">
        <v>995</v>
      </c>
      <c r="N34" s="32" t="s">
        <v>531</v>
      </c>
      <c r="P34" s="28" t="s">
        <v>532</v>
      </c>
      <c r="R34" s="2" t="s">
        <v>1372</v>
      </c>
    </row>
    <row r="35" spans="1:18" s="38" customFormat="1" ht="169.75" x14ac:dyDescent="0.25">
      <c r="A35" s="37" t="s">
        <v>346</v>
      </c>
      <c r="B35" s="38" t="s">
        <v>322</v>
      </c>
      <c r="C35" s="52" t="s">
        <v>45</v>
      </c>
      <c r="D35" s="52" t="s">
        <v>872</v>
      </c>
      <c r="E35" s="39"/>
      <c r="F35" s="50">
        <v>41976</v>
      </c>
      <c r="G35" s="50">
        <v>42331</v>
      </c>
      <c r="H35" s="43" t="s">
        <v>228</v>
      </c>
      <c r="I35" s="52" t="s">
        <v>141</v>
      </c>
      <c r="J35" s="52" t="s">
        <v>533</v>
      </c>
      <c r="K35" s="52" t="s">
        <v>256</v>
      </c>
      <c r="L35" s="41" t="s">
        <v>1105</v>
      </c>
      <c r="M35" s="41"/>
      <c r="N35" s="42" t="s">
        <v>534</v>
      </c>
      <c r="O35" s="52" t="s">
        <v>535</v>
      </c>
      <c r="P35" s="52" t="s">
        <v>10</v>
      </c>
      <c r="Q35" s="52"/>
      <c r="R35" s="38" t="s">
        <v>1373</v>
      </c>
    </row>
    <row r="36" spans="1:18" ht="99" x14ac:dyDescent="0.25">
      <c r="C36" s="28" t="s">
        <v>536</v>
      </c>
      <c r="F36" s="29" t="s">
        <v>462</v>
      </c>
      <c r="H36" s="35" t="s">
        <v>463</v>
      </c>
      <c r="I36" s="28" t="s">
        <v>306</v>
      </c>
      <c r="J36" s="28" t="s">
        <v>122</v>
      </c>
      <c r="K36" s="28"/>
      <c r="L36" s="31" t="s">
        <v>996</v>
      </c>
      <c r="N36" s="32" t="s">
        <v>537</v>
      </c>
      <c r="R36" s="2" t="s">
        <v>1374</v>
      </c>
    </row>
    <row r="37" spans="1:18" s="38" customFormat="1" ht="56.6" x14ac:dyDescent="0.25">
      <c r="A37" s="37" t="s">
        <v>347</v>
      </c>
      <c r="B37" s="38" t="s">
        <v>322</v>
      </c>
      <c r="C37" s="52" t="s">
        <v>873</v>
      </c>
      <c r="D37" s="52" t="s">
        <v>874</v>
      </c>
      <c r="E37" s="50">
        <v>41656</v>
      </c>
      <c r="F37" s="50">
        <v>40774</v>
      </c>
      <c r="G37" s="50">
        <v>41207</v>
      </c>
      <c r="H37" s="43" t="s">
        <v>228</v>
      </c>
      <c r="I37" s="52" t="s">
        <v>64</v>
      </c>
      <c r="J37" s="52" t="s">
        <v>538</v>
      </c>
      <c r="K37" s="52"/>
      <c r="L37" s="41" t="s">
        <v>997</v>
      </c>
      <c r="M37" s="41"/>
      <c r="N37" s="42" t="s">
        <v>203</v>
      </c>
      <c r="O37" s="52" t="s">
        <v>539</v>
      </c>
      <c r="P37" s="52" t="s">
        <v>540</v>
      </c>
      <c r="Q37" s="52"/>
      <c r="R37" s="38" t="s">
        <v>1375</v>
      </c>
    </row>
    <row r="38" spans="1:18" ht="28.3" x14ac:dyDescent="0.25">
      <c r="A38" s="26" t="s">
        <v>348</v>
      </c>
      <c r="B38" s="27" t="s">
        <v>320</v>
      </c>
      <c r="C38" s="28" t="s">
        <v>397</v>
      </c>
      <c r="F38" s="29" t="s">
        <v>455</v>
      </c>
      <c r="H38" s="35" t="s">
        <v>456</v>
      </c>
      <c r="I38" s="28" t="s">
        <v>296</v>
      </c>
      <c r="K38" s="28"/>
      <c r="N38" s="32" t="s">
        <v>541</v>
      </c>
      <c r="R38" s="2" t="s">
        <v>1376</v>
      </c>
    </row>
    <row r="39" spans="1:18" s="38" customFormat="1" ht="95.6" x14ac:dyDescent="0.25">
      <c r="A39" s="37" t="s">
        <v>349</v>
      </c>
      <c r="B39" s="38" t="s">
        <v>320</v>
      </c>
      <c r="C39" s="52" t="s">
        <v>875</v>
      </c>
      <c r="D39" s="52" t="s">
        <v>876</v>
      </c>
      <c r="E39" s="50">
        <v>42555</v>
      </c>
      <c r="F39" s="39"/>
      <c r="G39" s="39"/>
      <c r="H39" s="43" t="s">
        <v>1135</v>
      </c>
      <c r="I39" s="52" t="s">
        <v>65</v>
      </c>
      <c r="J39" s="52" t="s">
        <v>542</v>
      </c>
      <c r="K39" s="52" t="s">
        <v>257</v>
      </c>
      <c r="L39" s="41" t="s">
        <v>998</v>
      </c>
      <c r="M39" s="41"/>
      <c r="N39" s="42" t="s">
        <v>543</v>
      </c>
      <c r="O39" s="52"/>
      <c r="P39" s="52" t="s">
        <v>544</v>
      </c>
      <c r="Q39" s="52"/>
      <c r="R39" s="38" t="s">
        <v>1377</v>
      </c>
    </row>
    <row r="40" spans="1:18" ht="99" x14ac:dyDescent="0.25">
      <c r="A40" s="26" t="s">
        <v>350</v>
      </c>
      <c r="B40" s="27" t="s">
        <v>320</v>
      </c>
      <c r="C40" s="28" t="s">
        <v>877</v>
      </c>
      <c r="D40" s="28" t="s">
        <v>878</v>
      </c>
      <c r="E40" s="49">
        <v>40812</v>
      </c>
      <c r="F40" s="49">
        <v>39981</v>
      </c>
      <c r="G40" s="49">
        <v>40109</v>
      </c>
      <c r="H40" s="34" t="s">
        <v>228</v>
      </c>
      <c r="I40" s="28" t="s">
        <v>66</v>
      </c>
      <c r="J40" s="28" t="s">
        <v>44</v>
      </c>
      <c r="K40" s="28" t="s">
        <v>258</v>
      </c>
      <c r="L40" s="31" t="s">
        <v>999</v>
      </c>
      <c r="N40" s="32" t="s">
        <v>545</v>
      </c>
      <c r="O40" s="28" t="s">
        <v>546</v>
      </c>
      <c r="P40" s="28" t="s">
        <v>547</v>
      </c>
      <c r="Q40" s="33" t="s">
        <v>11</v>
      </c>
      <c r="R40" s="2" t="s">
        <v>1378</v>
      </c>
    </row>
    <row r="41" spans="1:18" s="38" customFormat="1" ht="113.15" x14ac:dyDescent="0.25">
      <c r="A41" s="37" t="s">
        <v>351</v>
      </c>
      <c r="B41" s="38" t="s">
        <v>324</v>
      </c>
      <c r="C41" s="52" t="s">
        <v>121</v>
      </c>
      <c r="D41" s="52" t="s">
        <v>879</v>
      </c>
      <c r="E41" s="39"/>
      <c r="F41" s="50">
        <v>35366</v>
      </c>
      <c r="G41" s="39"/>
      <c r="H41" s="43" t="s">
        <v>228</v>
      </c>
      <c r="I41" s="52" t="s">
        <v>548</v>
      </c>
      <c r="J41" s="52" t="s">
        <v>549</v>
      </c>
      <c r="K41" s="52"/>
      <c r="L41" s="41" t="s">
        <v>1106</v>
      </c>
      <c r="M41" s="41"/>
      <c r="N41" s="42" t="s">
        <v>550</v>
      </c>
      <c r="O41" s="52"/>
      <c r="P41" s="52" t="s">
        <v>551</v>
      </c>
      <c r="Q41" s="52"/>
      <c r="R41" s="38" t="s">
        <v>1379</v>
      </c>
    </row>
    <row r="42" spans="1:18" ht="42.45" x14ac:dyDescent="0.25">
      <c r="A42" s="26" t="s">
        <v>352</v>
      </c>
      <c r="B42" s="27" t="s">
        <v>322</v>
      </c>
      <c r="C42" s="28" t="s">
        <v>107</v>
      </c>
      <c r="D42" s="28" t="s">
        <v>880</v>
      </c>
      <c r="G42" s="49">
        <v>39923</v>
      </c>
      <c r="H42" s="34" t="s">
        <v>228</v>
      </c>
      <c r="I42" s="28" t="s">
        <v>552</v>
      </c>
      <c r="J42" s="28" t="s">
        <v>12</v>
      </c>
      <c r="K42" s="28" t="s">
        <v>259</v>
      </c>
      <c r="L42" s="31" t="s">
        <v>1107</v>
      </c>
      <c r="N42" s="32" t="s">
        <v>244</v>
      </c>
      <c r="P42" s="28" t="s">
        <v>553</v>
      </c>
      <c r="R42" s="2" t="s">
        <v>1380</v>
      </c>
    </row>
    <row r="43" spans="1:18" s="38" customFormat="1" ht="141.44999999999999" x14ac:dyDescent="0.25">
      <c r="A43" s="37" t="s">
        <v>353</v>
      </c>
      <c r="B43" s="38" t="s">
        <v>320</v>
      </c>
      <c r="C43" s="52" t="s">
        <v>881</v>
      </c>
      <c r="D43" s="52" t="s">
        <v>882</v>
      </c>
      <c r="E43" s="50">
        <v>41268</v>
      </c>
      <c r="F43" s="50">
        <v>39566</v>
      </c>
      <c r="G43" s="50">
        <v>40087</v>
      </c>
      <c r="H43" s="43" t="s">
        <v>228</v>
      </c>
      <c r="I43" s="52" t="s">
        <v>554</v>
      </c>
      <c r="J43" s="52" t="s">
        <v>5</v>
      </c>
      <c r="K43" s="52" t="s">
        <v>260</v>
      </c>
      <c r="L43" s="41" t="s">
        <v>1000</v>
      </c>
      <c r="M43" s="41"/>
      <c r="N43" s="42" t="s">
        <v>204</v>
      </c>
      <c r="O43" s="52" t="s">
        <v>555</v>
      </c>
      <c r="P43" s="52" t="s">
        <v>460</v>
      </c>
      <c r="Q43" s="52"/>
      <c r="R43" s="38" t="s">
        <v>1381</v>
      </c>
    </row>
    <row r="44" spans="1:18" ht="127.3" x14ac:dyDescent="0.25">
      <c r="A44" s="26" t="s">
        <v>354</v>
      </c>
      <c r="B44" s="27" t="s">
        <v>322</v>
      </c>
      <c r="C44" s="28" t="s">
        <v>883</v>
      </c>
      <c r="D44" s="28" t="s">
        <v>884</v>
      </c>
      <c r="E44" s="49">
        <v>39645</v>
      </c>
      <c r="F44" s="49">
        <v>38029</v>
      </c>
      <c r="G44" s="49">
        <v>38167</v>
      </c>
      <c r="H44" s="34" t="s">
        <v>228</v>
      </c>
      <c r="I44" s="28" t="s">
        <v>13</v>
      </c>
      <c r="J44" s="28" t="s">
        <v>38</v>
      </c>
      <c r="K44" s="28" t="s">
        <v>261</v>
      </c>
      <c r="L44" s="31" t="s">
        <v>1001</v>
      </c>
      <c r="M44" s="31" t="s">
        <v>1108</v>
      </c>
      <c r="N44" s="32" t="s">
        <v>556</v>
      </c>
      <c r="O44" s="28" t="s">
        <v>557</v>
      </c>
      <c r="P44" s="28" t="s">
        <v>558</v>
      </c>
      <c r="R44" s="2" t="s">
        <v>1382</v>
      </c>
    </row>
    <row r="45" spans="1:18" s="38" customFormat="1" ht="99" x14ac:dyDescent="0.25">
      <c r="A45" s="37"/>
      <c r="C45" s="52" t="s">
        <v>130</v>
      </c>
      <c r="D45" s="52"/>
      <c r="E45" s="39"/>
      <c r="F45" s="39" t="s">
        <v>455</v>
      </c>
      <c r="G45" s="39"/>
      <c r="H45" s="44" t="s">
        <v>456</v>
      </c>
      <c r="I45" s="52" t="s">
        <v>74</v>
      </c>
      <c r="J45" s="52" t="s">
        <v>75</v>
      </c>
      <c r="K45" s="52"/>
      <c r="L45" s="41" t="s">
        <v>1002</v>
      </c>
      <c r="M45" s="41"/>
      <c r="N45" s="42" t="s">
        <v>559</v>
      </c>
      <c r="O45" s="52"/>
      <c r="P45" s="52"/>
      <c r="Q45" s="52"/>
      <c r="R45" s="38" t="s">
        <v>1383</v>
      </c>
    </row>
    <row r="46" spans="1:18" ht="56.6" x14ac:dyDescent="0.25">
      <c r="A46" s="26" t="s">
        <v>355</v>
      </c>
      <c r="B46" s="27" t="s">
        <v>320</v>
      </c>
      <c r="C46" s="28" t="s">
        <v>560</v>
      </c>
      <c r="D46" s="28" t="s">
        <v>885</v>
      </c>
      <c r="F46" s="29" t="s">
        <v>1127</v>
      </c>
      <c r="G46" s="29" t="s">
        <v>1128</v>
      </c>
      <c r="H46" s="30" t="s">
        <v>495</v>
      </c>
      <c r="I46" s="28" t="s">
        <v>101</v>
      </c>
      <c r="J46" s="28" t="s">
        <v>510</v>
      </c>
      <c r="K46" s="28" t="s">
        <v>1163</v>
      </c>
      <c r="L46" s="31" t="s">
        <v>1003</v>
      </c>
      <c r="N46" s="32" t="s">
        <v>561</v>
      </c>
      <c r="O46" s="28" t="s">
        <v>562</v>
      </c>
      <c r="P46" s="28" t="s">
        <v>563</v>
      </c>
      <c r="Q46" s="33" t="s">
        <v>14</v>
      </c>
      <c r="R46" s="2" t="s">
        <v>1384</v>
      </c>
    </row>
    <row r="47" spans="1:18" s="38" customFormat="1" ht="56.6" x14ac:dyDescent="0.25">
      <c r="A47" s="37" t="s">
        <v>355</v>
      </c>
      <c r="B47" s="38" t="s">
        <v>320</v>
      </c>
      <c r="C47" s="52" t="s">
        <v>560</v>
      </c>
      <c r="D47" s="52" t="s">
        <v>886</v>
      </c>
      <c r="E47" s="39"/>
      <c r="F47" s="50">
        <v>42517</v>
      </c>
      <c r="G47" s="50">
        <v>42552</v>
      </c>
      <c r="H47" s="43" t="s">
        <v>1135</v>
      </c>
      <c r="I47" s="52" t="s">
        <v>1162</v>
      </c>
      <c r="J47" s="52" t="s">
        <v>1161</v>
      </c>
      <c r="K47" s="52" t="s">
        <v>1163</v>
      </c>
      <c r="L47" s="41" t="s">
        <v>1165</v>
      </c>
      <c r="M47" s="41"/>
      <c r="N47" s="42" t="s">
        <v>1164</v>
      </c>
      <c r="O47" s="52" t="s">
        <v>562</v>
      </c>
      <c r="P47" s="52" t="s">
        <v>563</v>
      </c>
      <c r="Q47" s="52" t="s">
        <v>14</v>
      </c>
      <c r="R47" s="38" t="s">
        <v>1385</v>
      </c>
    </row>
    <row r="48" spans="1:18" ht="67.3" x14ac:dyDescent="0.25">
      <c r="A48" s="26" t="s">
        <v>887</v>
      </c>
      <c r="B48" s="27" t="s">
        <v>322</v>
      </c>
      <c r="C48" s="28" t="s">
        <v>131</v>
      </c>
      <c r="D48" s="28" t="s">
        <v>888</v>
      </c>
      <c r="F48" s="49">
        <v>42324</v>
      </c>
      <c r="G48" s="49">
        <v>42510</v>
      </c>
      <c r="H48" s="35" t="s">
        <v>456</v>
      </c>
      <c r="I48" s="28" t="s">
        <v>137</v>
      </c>
      <c r="J48" s="28" t="s">
        <v>564</v>
      </c>
      <c r="K48" s="28" t="s">
        <v>262</v>
      </c>
      <c r="L48" s="31" t="s">
        <v>1004</v>
      </c>
      <c r="N48" s="32" t="s">
        <v>171</v>
      </c>
      <c r="R48" s="2" t="s">
        <v>1386</v>
      </c>
    </row>
    <row r="49" spans="1:18" s="38" customFormat="1" ht="54.9" x14ac:dyDescent="0.25">
      <c r="A49" s="37"/>
      <c r="C49" s="52" t="s">
        <v>565</v>
      </c>
      <c r="D49" s="52"/>
      <c r="E49" s="39"/>
      <c r="F49" s="39" t="s">
        <v>455</v>
      </c>
      <c r="G49" s="39"/>
      <c r="H49" s="44" t="s">
        <v>456</v>
      </c>
      <c r="I49" s="52" t="s">
        <v>100</v>
      </c>
      <c r="J49" s="52" t="s">
        <v>566</v>
      </c>
      <c r="K49" s="52" t="s">
        <v>263</v>
      </c>
      <c r="L49" s="41" t="s">
        <v>1005</v>
      </c>
      <c r="M49" s="41"/>
      <c r="N49" s="42" t="s">
        <v>172</v>
      </c>
      <c r="O49" s="52"/>
      <c r="P49" s="52" t="s">
        <v>567</v>
      </c>
      <c r="Q49" s="52"/>
      <c r="R49" s="38" t="s">
        <v>1387</v>
      </c>
    </row>
    <row r="50" spans="1:18" ht="183.9" x14ac:dyDescent="0.25">
      <c r="C50" s="28" t="s">
        <v>25</v>
      </c>
      <c r="D50" s="28" t="s">
        <v>568</v>
      </c>
      <c r="F50" s="49">
        <v>40330</v>
      </c>
      <c r="G50" s="49">
        <v>40737</v>
      </c>
      <c r="H50" s="34" t="s">
        <v>228</v>
      </c>
      <c r="I50" s="28" t="s">
        <v>67</v>
      </c>
      <c r="J50" s="28" t="s">
        <v>1167</v>
      </c>
      <c r="K50" s="28" t="s">
        <v>1168</v>
      </c>
      <c r="L50" s="31" t="s">
        <v>1006</v>
      </c>
      <c r="N50" s="32" t="s">
        <v>570</v>
      </c>
      <c r="O50" s="28" t="s">
        <v>571</v>
      </c>
      <c r="P50" s="28" t="s">
        <v>572</v>
      </c>
      <c r="R50" s="2" t="s">
        <v>1388</v>
      </c>
    </row>
    <row r="51" spans="1:18" s="38" customFormat="1" ht="99" x14ac:dyDescent="0.25">
      <c r="A51" s="37" t="s">
        <v>356</v>
      </c>
      <c r="B51" s="38" t="s">
        <v>325</v>
      </c>
      <c r="C51" s="52" t="s">
        <v>889</v>
      </c>
      <c r="D51" s="52" t="s">
        <v>1171</v>
      </c>
      <c r="E51" s="50">
        <v>41358</v>
      </c>
      <c r="F51" s="50">
        <v>40330</v>
      </c>
      <c r="G51" s="50">
        <v>40324</v>
      </c>
      <c r="H51" s="43" t="s">
        <v>1135</v>
      </c>
      <c r="I51" s="52" t="s">
        <v>1173</v>
      </c>
      <c r="J51" s="52" t="s">
        <v>569</v>
      </c>
      <c r="K51" s="52" t="s">
        <v>264</v>
      </c>
      <c r="L51" s="41" t="s">
        <v>1174</v>
      </c>
      <c r="M51" s="41"/>
      <c r="N51" s="42" t="s">
        <v>1172</v>
      </c>
      <c r="O51" s="52" t="s">
        <v>571</v>
      </c>
      <c r="P51" s="52" t="s">
        <v>572</v>
      </c>
      <c r="Q51" s="52"/>
      <c r="R51" s="38" t="s">
        <v>1389</v>
      </c>
    </row>
    <row r="52" spans="1:18" ht="56.6" x14ac:dyDescent="0.25">
      <c r="A52" s="26" t="s">
        <v>356</v>
      </c>
      <c r="B52" s="27" t="s">
        <v>325</v>
      </c>
      <c r="C52" s="28" t="s">
        <v>889</v>
      </c>
      <c r="D52" s="28" t="s">
        <v>1166</v>
      </c>
      <c r="E52" s="49">
        <v>40926</v>
      </c>
      <c r="H52" s="34" t="s">
        <v>1135</v>
      </c>
      <c r="I52" s="28" t="s">
        <v>1170</v>
      </c>
      <c r="J52" s="28" t="s">
        <v>569</v>
      </c>
      <c r="K52" s="28" t="s">
        <v>264</v>
      </c>
      <c r="L52" s="31" t="s">
        <v>1203</v>
      </c>
      <c r="N52" s="32" t="s">
        <v>1169</v>
      </c>
      <c r="O52" s="28" t="s">
        <v>571</v>
      </c>
      <c r="P52" s="28" t="s">
        <v>572</v>
      </c>
      <c r="R52" s="2" t="s">
        <v>1390</v>
      </c>
    </row>
    <row r="53" spans="1:18" s="38" customFormat="1" ht="84.9" x14ac:dyDescent="0.25">
      <c r="A53" s="37" t="s">
        <v>357</v>
      </c>
      <c r="B53" s="38" t="s">
        <v>322</v>
      </c>
      <c r="C53" s="52" t="s">
        <v>116</v>
      </c>
      <c r="D53" s="52" t="s">
        <v>434</v>
      </c>
      <c r="E53" s="39"/>
      <c r="F53" s="50">
        <v>42073</v>
      </c>
      <c r="G53" s="50">
        <v>42230</v>
      </c>
      <c r="H53" s="43" t="s">
        <v>228</v>
      </c>
      <c r="I53" s="52" t="s">
        <v>118</v>
      </c>
      <c r="J53" s="52" t="s">
        <v>117</v>
      </c>
      <c r="K53" s="52"/>
      <c r="L53" s="41" t="s">
        <v>1007</v>
      </c>
      <c r="M53" s="41"/>
      <c r="N53" s="42" t="s">
        <v>435</v>
      </c>
      <c r="O53" s="52" t="s">
        <v>119</v>
      </c>
      <c r="P53" s="52" t="s">
        <v>120</v>
      </c>
      <c r="Q53" s="52"/>
      <c r="R53" s="38" t="s">
        <v>1391</v>
      </c>
    </row>
    <row r="54" spans="1:18" ht="108" x14ac:dyDescent="0.25">
      <c r="C54" s="28" t="s">
        <v>573</v>
      </c>
      <c r="F54" s="29" t="s">
        <v>462</v>
      </c>
      <c r="H54" s="35" t="s">
        <v>463</v>
      </c>
      <c r="I54" s="28" t="s">
        <v>101</v>
      </c>
      <c r="J54" s="28" t="s">
        <v>574</v>
      </c>
      <c r="K54" s="28" t="s">
        <v>265</v>
      </c>
      <c r="L54" s="31" t="s">
        <v>1008</v>
      </c>
      <c r="N54" s="32" t="s">
        <v>575</v>
      </c>
      <c r="P54" s="28" t="s">
        <v>576</v>
      </c>
      <c r="R54" s="2" t="s">
        <v>1392</v>
      </c>
    </row>
    <row r="55" spans="1:18" s="38" customFormat="1" ht="81.45" x14ac:dyDescent="0.25">
      <c r="A55" s="37"/>
      <c r="C55" s="52" t="s">
        <v>577</v>
      </c>
      <c r="D55" s="52"/>
      <c r="E55" s="39"/>
      <c r="F55" s="39" t="s">
        <v>462</v>
      </c>
      <c r="G55" s="39"/>
      <c r="H55" s="44" t="s">
        <v>463</v>
      </c>
      <c r="I55" s="52" t="s">
        <v>138</v>
      </c>
      <c r="J55" s="52" t="s">
        <v>578</v>
      </c>
      <c r="K55" s="52"/>
      <c r="L55" s="41" t="s">
        <v>1009</v>
      </c>
      <c r="M55" s="41"/>
      <c r="N55" s="42" t="s">
        <v>579</v>
      </c>
      <c r="O55" s="52"/>
      <c r="P55" s="52"/>
      <c r="Q55" s="52"/>
      <c r="R55" s="38" t="s">
        <v>1393</v>
      </c>
    </row>
    <row r="56" spans="1:18" ht="56.6" x14ac:dyDescent="0.25">
      <c r="C56" s="28" t="s">
        <v>580</v>
      </c>
      <c r="F56" s="29" t="s">
        <v>462</v>
      </c>
      <c r="H56" s="35" t="s">
        <v>463</v>
      </c>
      <c r="I56" s="28" t="s">
        <v>60</v>
      </c>
      <c r="J56" s="28" t="s">
        <v>581</v>
      </c>
      <c r="K56" s="28" t="s">
        <v>266</v>
      </c>
      <c r="L56" s="31" t="s">
        <v>1010</v>
      </c>
      <c r="N56" s="32" t="s">
        <v>582</v>
      </c>
      <c r="P56" s="28" t="s">
        <v>583</v>
      </c>
      <c r="R56" s="2" t="s">
        <v>1394</v>
      </c>
    </row>
    <row r="57" spans="1:18" s="38" customFormat="1" ht="84.9" x14ac:dyDescent="0.25">
      <c r="A57" s="37" t="s">
        <v>358</v>
      </c>
      <c r="B57" s="38" t="s">
        <v>320</v>
      </c>
      <c r="C57" s="52" t="s">
        <v>890</v>
      </c>
      <c r="D57" s="52" t="s">
        <v>891</v>
      </c>
      <c r="E57" s="50">
        <v>40284</v>
      </c>
      <c r="F57" s="50">
        <v>39157</v>
      </c>
      <c r="G57" s="50">
        <v>39253</v>
      </c>
      <c r="H57" s="43" t="s">
        <v>228</v>
      </c>
      <c r="I57" s="52" t="s">
        <v>584</v>
      </c>
      <c r="J57" s="52" t="s">
        <v>585</v>
      </c>
      <c r="K57" s="52" t="s">
        <v>267</v>
      </c>
      <c r="L57" s="41" t="s">
        <v>1011</v>
      </c>
      <c r="M57" s="41"/>
      <c r="N57" s="42" t="s">
        <v>586</v>
      </c>
      <c r="O57" s="52" t="s">
        <v>587</v>
      </c>
      <c r="P57" s="52" t="s">
        <v>588</v>
      </c>
      <c r="Q57" s="52"/>
      <c r="R57" s="38" t="s">
        <v>1395</v>
      </c>
    </row>
    <row r="58" spans="1:18" ht="108.9" x14ac:dyDescent="0.25">
      <c r="A58" s="26" t="s">
        <v>359</v>
      </c>
      <c r="B58" s="27" t="s">
        <v>322</v>
      </c>
      <c r="C58" s="28" t="s">
        <v>589</v>
      </c>
      <c r="F58" s="29" t="s">
        <v>462</v>
      </c>
      <c r="H58" s="35" t="s">
        <v>463</v>
      </c>
      <c r="I58" s="28" t="s">
        <v>31</v>
      </c>
      <c r="J58" s="28" t="s">
        <v>590</v>
      </c>
      <c r="K58" s="28"/>
      <c r="L58" s="31" t="s">
        <v>1012</v>
      </c>
      <c r="N58" s="32" t="s">
        <v>173</v>
      </c>
      <c r="P58" s="28" t="s">
        <v>591</v>
      </c>
      <c r="R58" s="2" t="s">
        <v>1396</v>
      </c>
    </row>
    <row r="59" spans="1:18" s="38" customFormat="1" ht="70.75" x14ac:dyDescent="0.25">
      <c r="A59" s="37" t="s">
        <v>360</v>
      </c>
      <c r="B59" s="38" t="s">
        <v>320</v>
      </c>
      <c r="C59" s="52" t="s">
        <v>32</v>
      </c>
      <c r="D59" s="52" t="s">
        <v>892</v>
      </c>
      <c r="E59" s="39"/>
      <c r="F59" s="50">
        <v>37921</v>
      </c>
      <c r="G59" s="39" t="s">
        <v>1129</v>
      </c>
      <c r="H59" s="43" t="s">
        <v>228</v>
      </c>
      <c r="I59" s="52" t="s">
        <v>68</v>
      </c>
      <c r="J59" s="52" t="s">
        <v>592</v>
      </c>
      <c r="K59" s="52" t="s">
        <v>593</v>
      </c>
      <c r="L59" s="41" t="s">
        <v>1013</v>
      </c>
      <c r="M59" s="41"/>
      <c r="N59" s="42" t="s">
        <v>205</v>
      </c>
      <c r="O59" s="52" t="s">
        <v>594</v>
      </c>
      <c r="P59" s="52" t="s">
        <v>595</v>
      </c>
      <c r="Q59" s="52" t="s">
        <v>15</v>
      </c>
      <c r="R59" s="38" t="s">
        <v>1397</v>
      </c>
    </row>
    <row r="60" spans="1:18" ht="70.75" x14ac:dyDescent="0.25">
      <c r="C60" s="28" t="s">
        <v>596</v>
      </c>
      <c r="H60" s="30" t="s">
        <v>444</v>
      </c>
      <c r="I60" s="28" t="s">
        <v>69</v>
      </c>
      <c r="J60" s="28" t="s">
        <v>70</v>
      </c>
      <c r="K60" s="28"/>
      <c r="L60" s="31" t="s">
        <v>1014</v>
      </c>
      <c r="N60" s="32" t="s">
        <v>218</v>
      </c>
      <c r="R60" s="2" t="s">
        <v>1398</v>
      </c>
    </row>
    <row r="61" spans="1:18" s="38" customFormat="1" ht="155.6" x14ac:dyDescent="0.25">
      <c r="A61" s="37" t="s">
        <v>597</v>
      </c>
      <c r="B61" s="38" t="s">
        <v>322</v>
      </c>
      <c r="C61" s="52" t="s">
        <v>893</v>
      </c>
      <c r="D61" s="52" t="s">
        <v>894</v>
      </c>
      <c r="E61" s="50">
        <v>42641</v>
      </c>
      <c r="F61" s="50">
        <v>42338</v>
      </c>
      <c r="G61" s="50">
        <v>42501</v>
      </c>
      <c r="H61" s="43" t="s">
        <v>228</v>
      </c>
      <c r="I61" s="52" t="s">
        <v>105</v>
      </c>
      <c r="J61" s="52" t="s">
        <v>598</v>
      </c>
      <c r="K61" s="52"/>
      <c r="L61" s="41" t="s">
        <v>1015</v>
      </c>
      <c r="M61" s="41"/>
      <c r="N61" s="42" t="s">
        <v>599</v>
      </c>
      <c r="O61" s="52"/>
      <c r="P61" s="52" t="s">
        <v>600</v>
      </c>
      <c r="Q61" s="52"/>
      <c r="R61" s="38" t="s">
        <v>1399</v>
      </c>
    </row>
    <row r="62" spans="1:18" ht="84.9" x14ac:dyDescent="0.25">
      <c r="C62" s="28" t="s">
        <v>139</v>
      </c>
      <c r="F62" s="29" t="s">
        <v>462</v>
      </c>
      <c r="H62" s="35" t="s">
        <v>463</v>
      </c>
      <c r="I62" s="28" t="s">
        <v>140</v>
      </c>
      <c r="J62" s="28" t="s">
        <v>601</v>
      </c>
      <c r="K62" s="28"/>
      <c r="L62" s="31" t="s">
        <v>1016</v>
      </c>
      <c r="N62" s="32" t="s">
        <v>174</v>
      </c>
      <c r="R62" s="2" t="s">
        <v>1400</v>
      </c>
    </row>
    <row r="63" spans="1:18" s="38" customFormat="1" ht="84.9" x14ac:dyDescent="0.25">
      <c r="A63" s="37" t="s">
        <v>361</v>
      </c>
      <c r="B63" s="38" t="s">
        <v>320</v>
      </c>
      <c r="C63" s="52" t="s">
        <v>33</v>
      </c>
      <c r="D63" s="52" t="s">
        <v>1017</v>
      </c>
      <c r="E63" s="39"/>
      <c r="F63" s="39"/>
      <c r="G63" s="50">
        <v>42383</v>
      </c>
      <c r="H63" s="43" t="s">
        <v>1135</v>
      </c>
      <c r="I63" s="52" t="s">
        <v>1177</v>
      </c>
      <c r="J63" s="52" t="s">
        <v>602</v>
      </c>
      <c r="K63" s="52"/>
      <c r="L63" s="41" t="s">
        <v>1184</v>
      </c>
      <c r="M63" s="41"/>
      <c r="N63" s="42" t="s">
        <v>1175</v>
      </c>
      <c r="O63" s="52" t="s">
        <v>604</v>
      </c>
      <c r="P63" s="52" t="s">
        <v>460</v>
      </c>
      <c r="Q63" s="52"/>
      <c r="R63" s="38" t="s">
        <v>1401</v>
      </c>
    </row>
    <row r="64" spans="1:18" ht="108.9" x14ac:dyDescent="0.25">
      <c r="A64" s="26" t="s">
        <v>361</v>
      </c>
      <c r="B64" s="27" t="s">
        <v>320</v>
      </c>
      <c r="C64" s="28" t="s">
        <v>1109</v>
      </c>
      <c r="D64" s="28" t="s">
        <v>1176</v>
      </c>
      <c r="E64" s="49">
        <v>38371</v>
      </c>
      <c r="F64" s="49">
        <v>36101</v>
      </c>
      <c r="G64" s="49">
        <v>36559</v>
      </c>
      <c r="H64" s="34" t="s">
        <v>228</v>
      </c>
      <c r="I64" s="28" t="s">
        <v>1179</v>
      </c>
      <c r="J64" s="28" t="s">
        <v>1178</v>
      </c>
      <c r="K64" s="28"/>
      <c r="L64" s="31" t="s">
        <v>1180</v>
      </c>
      <c r="M64" s="31" t="s">
        <v>1100</v>
      </c>
      <c r="N64" s="32" t="s">
        <v>603</v>
      </c>
      <c r="O64" s="28" t="s">
        <v>604</v>
      </c>
      <c r="P64" s="28" t="s">
        <v>460</v>
      </c>
      <c r="R64" s="2" t="s">
        <v>1402</v>
      </c>
    </row>
    <row r="65" spans="1:18" s="38" customFormat="1" ht="99" x14ac:dyDescent="0.25">
      <c r="A65" s="37" t="s">
        <v>361</v>
      </c>
      <c r="B65" s="38" t="s">
        <v>320</v>
      </c>
      <c r="C65" s="52" t="s">
        <v>895</v>
      </c>
      <c r="D65" s="52" t="s">
        <v>896</v>
      </c>
      <c r="E65" s="39"/>
      <c r="F65" s="50">
        <v>42612</v>
      </c>
      <c r="G65" s="39"/>
      <c r="H65" s="43" t="s">
        <v>1138</v>
      </c>
      <c r="I65" s="52" t="s">
        <v>1182</v>
      </c>
      <c r="J65" s="52" t="s">
        <v>602</v>
      </c>
      <c r="K65" s="52"/>
      <c r="L65" s="41" t="s">
        <v>1183</v>
      </c>
      <c r="M65" s="41"/>
      <c r="N65" s="42" t="s">
        <v>1181</v>
      </c>
      <c r="O65" s="52" t="s">
        <v>604</v>
      </c>
      <c r="P65" s="52" t="s">
        <v>460</v>
      </c>
      <c r="Q65" s="52"/>
      <c r="R65" s="38" t="s">
        <v>1403</v>
      </c>
    </row>
    <row r="66" spans="1:18" ht="123" x14ac:dyDescent="0.25">
      <c r="C66" s="28" t="s">
        <v>605</v>
      </c>
      <c r="F66" s="29" t="s">
        <v>1130</v>
      </c>
      <c r="H66" s="30" t="s">
        <v>444</v>
      </c>
      <c r="I66" s="28" t="s">
        <v>606</v>
      </c>
      <c r="J66" s="28" t="s">
        <v>607</v>
      </c>
      <c r="K66" s="28" t="s">
        <v>268</v>
      </c>
      <c r="L66" s="31" t="s">
        <v>1018</v>
      </c>
      <c r="N66" s="32" t="s">
        <v>175</v>
      </c>
      <c r="P66" s="28" t="s">
        <v>608</v>
      </c>
      <c r="R66" s="2" t="s">
        <v>1404</v>
      </c>
    </row>
    <row r="67" spans="1:18" s="38" customFormat="1" ht="95.6" x14ac:dyDescent="0.25">
      <c r="A67" s="37"/>
      <c r="C67" s="52" t="s">
        <v>609</v>
      </c>
      <c r="D67" s="52"/>
      <c r="E67" s="39"/>
      <c r="F67" s="39" t="s">
        <v>462</v>
      </c>
      <c r="G67" s="39"/>
      <c r="H67" s="44" t="s">
        <v>463</v>
      </c>
      <c r="I67" s="52" t="s">
        <v>71</v>
      </c>
      <c r="J67" s="52" t="s">
        <v>610</v>
      </c>
      <c r="K67" s="52" t="s">
        <v>269</v>
      </c>
      <c r="L67" s="41" t="s">
        <v>1019</v>
      </c>
      <c r="M67" s="41"/>
      <c r="N67" s="42" t="s">
        <v>176</v>
      </c>
      <c r="O67" s="52"/>
      <c r="P67" s="52" t="s">
        <v>611</v>
      </c>
      <c r="Q67" s="52"/>
      <c r="R67" s="38" t="s">
        <v>1405</v>
      </c>
    </row>
    <row r="68" spans="1:18" ht="113.15" x14ac:dyDescent="0.25">
      <c r="A68" s="26" t="s">
        <v>362</v>
      </c>
      <c r="B68" s="27" t="s">
        <v>326</v>
      </c>
      <c r="C68" s="28" t="s">
        <v>897</v>
      </c>
      <c r="D68" s="28" t="s">
        <v>898</v>
      </c>
      <c r="E68" s="49">
        <v>42391</v>
      </c>
      <c r="F68" s="49">
        <v>42243</v>
      </c>
      <c r="G68" s="49">
        <v>42202</v>
      </c>
      <c r="H68" s="34" t="s">
        <v>228</v>
      </c>
      <c r="I68" s="28" t="s">
        <v>72</v>
      </c>
      <c r="J68" s="28" t="s">
        <v>73</v>
      </c>
      <c r="K68" s="28"/>
      <c r="L68" s="31" t="s">
        <v>1020</v>
      </c>
      <c r="N68" s="32" t="s">
        <v>612</v>
      </c>
      <c r="P68" s="28" t="s">
        <v>493</v>
      </c>
      <c r="R68" s="2" t="s">
        <v>1406</v>
      </c>
    </row>
    <row r="69" spans="1:18" s="38" customFormat="1" ht="95.6" x14ac:dyDescent="0.25">
      <c r="A69" s="37"/>
      <c r="C69" s="52" t="s">
        <v>613</v>
      </c>
      <c r="D69" s="52"/>
      <c r="E69" s="39"/>
      <c r="F69" s="39" t="s">
        <v>455</v>
      </c>
      <c r="G69" s="39"/>
      <c r="H69" s="44" t="s">
        <v>456</v>
      </c>
      <c r="I69" s="52" t="s">
        <v>142</v>
      </c>
      <c r="J69" s="52" t="s">
        <v>614</v>
      </c>
      <c r="K69" s="52"/>
      <c r="L69" s="41" t="s">
        <v>1021</v>
      </c>
      <c r="M69" s="41"/>
      <c r="N69" s="42" t="s">
        <v>177</v>
      </c>
      <c r="O69" s="52"/>
      <c r="P69" s="52"/>
      <c r="Q69" s="52"/>
      <c r="R69" s="38" t="s">
        <v>1407</v>
      </c>
    </row>
    <row r="70" spans="1:18" ht="163.75" x14ac:dyDescent="0.25">
      <c r="C70" s="28" t="s">
        <v>615</v>
      </c>
      <c r="F70" s="29" t="s">
        <v>899</v>
      </c>
      <c r="H70" s="30" t="s">
        <v>444</v>
      </c>
      <c r="I70" s="28" t="s">
        <v>74</v>
      </c>
      <c r="J70" s="28" t="s">
        <v>75</v>
      </c>
      <c r="K70" s="28"/>
      <c r="L70" s="31" t="s">
        <v>1022</v>
      </c>
      <c r="N70" s="32" t="s">
        <v>616</v>
      </c>
      <c r="P70" s="28" t="s">
        <v>617</v>
      </c>
      <c r="R70" s="2" t="s">
        <v>1408</v>
      </c>
    </row>
    <row r="71" spans="1:18" s="38" customFormat="1" ht="163.75" x14ac:dyDescent="0.25">
      <c r="A71" s="37" t="s">
        <v>363</v>
      </c>
      <c r="B71" s="38" t="s">
        <v>322</v>
      </c>
      <c r="C71" s="52" t="s">
        <v>900</v>
      </c>
      <c r="D71" s="52" t="s">
        <v>901</v>
      </c>
      <c r="E71" s="50">
        <v>38558</v>
      </c>
      <c r="F71" s="39" t="s">
        <v>1131</v>
      </c>
      <c r="G71" s="39" t="s">
        <v>444</v>
      </c>
      <c r="H71" s="43" t="s">
        <v>228</v>
      </c>
      <c r="I71" s="52" t="s">
        <v>76</v>
      </c>
      <c r="J71" s="52" t="s">
        <v>618</v>
      </c>
      <c r="K71" s="52" t="s">
        <v>270</v>
      </c>
      <c r="L71" s="41" t="s">
        <v>1023</v>
      </c>
      <c r="M71" s="41"/>
      <c r="N71" s="42" t="s">
        <v>619</v>
      </c>
      <c r="O71" s="52" t="s">
        <v>620</v>
      </c>
      <c r="P71" s="52" t="s">
        <v>621</v>
      </c>
      <c r="Q71" s="52"/>
      <c r="R71" s="38" t="s">
        <v>1409</v>
      </c>
    </row>
    <row r="72" spans="1:18" ht="56.6" x14ac:dyDescent="0.25">
      <c r="C72" s="28" t="s">
        <v>622</v>
      </c>
      <c r="F72" s="29" t="s">
        <v>462</v>
      </c>
      <c r="H72" s="35" t="s">
        <v>463</v>
      </c>
      <c r="I72" s="28" t="s">
        <v>77</v>
      </c>
      <c r="J72" s="28" t="s">
        <v>44</v>
      </c>
      <c r="K72" s="28" t="s">
        <v>258</v>
      </c>
      <c r="L72" s="31" t="s">
        <v>1024</v>
      </c>
      <c r="N72" s="32" t="s">
        <v>198</v>
      </c>
      <c r="P72" s="28" t="s">
        <v>547</v>
      </c>
      <c r="R72" s="2" t="s">
        <v>1410</v>
      </c>
    </row>
    <row r="73" spans="1:18" s="38" customFormat="1" ht="67.3" x14ac:dyDescent="0.25">
      <c r="A73" s="37"/>
      <c r="C73" s="52" t="s">
        <v>623</v>
      </c>
      <c r="D73" s="52"/>
      <c r="E73" s="39"/>
      <c r="F73" s="39" t="s">
        <v>455</v>
      </c>
      <c r="G73" s="39"/>
      <c r="H73" s="44" t="s">
        <v>456</v>
      </c>
      <c r="I73" s="52" t="s">
        <v>143</v>
      </c>
      <c r="J73" s="52" t="s">
        <v>144</v>
      </c>
      <c r="K73" s="52"/>
      <c r="L73" s="41" t="s">
        <v>1110</v>
      </c>
      <c r="M73" s="41"/>
      <c r="N73" s="42" t="s">
        <v>178</v>
      </c>
      <c r="O73" s="52"/>
      <c r="P73" s="52"/>
      <c r="Q73" s="52"/>
      <c r="R73" s="38" t="s">
        <v>1411</v>
      </c>
    </row>
    <row r="74" spans="1:18" ht="99" x14ac:dyDescent="0.25">
      <c r="A74" s="26" t="s">
        <v>364</v>
      </c>
      <c r="B74" s="27" t="s">
        <v>320</v>
      </c>
      <c r="C74" s="28" t="s">
        <v>41</v>
      </c>
      <c r="D74" s="28" t="s">
        <v>902</v>
      </c>
      <c r="F74" s="49">
        <v>41473</v>
      </c>
      <c r="H74" s="34" t="s">
        <v>1142</v>
      </c>
      <c r="I74" s="28" t="s">
        <v>93</v>
      </c>
      <c r="J74" s="28" t="s">
        <v>1185</v>
      </c>
      <c r="K74" s="28" t="s">
        <v>1187</v>
      </c>
      <c r="L74" s="31" t="s">
        <v>1189</v>
      </c>
      <c r="N74" s="32" t="s">
        <v>1188</v>
      </c>
      <c r="O74" s="28" t="s">
        <v>624</v>
      </c>
      <c r="P74" s="28" t="s">
        <v>460</v>
      </c>
      <c r="R74" s="2" t="s">
        <v>1412</v>
      </c>
    </row>
    <row r="75" spans="1:18" s="38" customFormat="1" ht="99" x14ac:dyDescent="0.25">
      <c r="A75" s="37" t="s">
        <v>364</v>
      </c>
      <c r="B75" s="38" t="s">
        <v>320</v>
      </c>
      <c r="C75" s="52" t="s">
        <v>903</v>
      </c>
      <c r="D75" s="52" t="s">
        <v>904</v>
      </c>
      <c r="E75" s="50">
        <v>40725</v>
      </c>
      <c r="F75" s="50">
        <v>39927</v>
      </c>
      <c r="G75" s="50">
        <v>40087</v>
      </c>
      <c r="H75" s="43" t="s">
        <v>228</v>
      </c>
      <c r="I75" s="52" t="s">
        <v>78</v>
      </c>
      <c r="J75" s="52" t="s">
        <v>1185</v>
      </c>
      <c r="K75" s="52" t="s">
        <v>1186</v>
      </c>
      <c r="L75" s="41" t="s">
        <v>1111</v>
      </c>
      <c r="M75" s="41"/>
      <c r="N75" s="42" t="s">
        <v>206</v>
      </c>
      <c r="O75" s="52" t="s">
        <v>624</v>
      </c>
      <c r="P75" s="52" t="s">
        <v>460</v>
      </c>
      <c r="Q75" s="52"/>
      <c r="R75" s="38" t="s">
        <v>1413</v>
      </c>
    </row>
    <row r="76" spans="1:18" ht="113.15" x14ac:dyDescent="0.25">
      <c r="C76" s="28" t="s">
        <v>625</v>
      </c>
      <c r="F76" s="29" t="s">
        <v>455</v>
      </c>
      <c r="H76" s="35" t="s">
        <v>456</v>
      </c>
      <c r="I76" s="28" t="s">
        <v>145</v>
      </c>
      <c r="J76" s="28" t="s">
        <v>146</v>
      </c>
      <c r="K76" s="28"/>
      <c r="L76" s="31" t="s">
        <v>1112</v>
      </c>
      <c r="N76" s="32" t="s">
        <v>626</v>
      </c>
      <c r="R76" s="2" t="s">
        <v>1414</v>
      </c>
    </row>
    <row r="77" spans="1:18" s="38" customFormat="1" ht="82.3" x14ac:dyDescent="0.25">
      <c r="A77" s="37"/>
      <c r="C77" s="52" t="s">
        <v>627</v>
      </c>
      <c r="D77" s="52"/>
      <c r="E77" s="39"/>
      <c r="F77" s="39" t="s">
        <v>462</v>
      </c>
      <c r="G77" s="39"/>
      <c r="H77" s="44" t="s">
        <v>463</v>
      </c>
      <c r="I77" s="52" t="s">
        <v>79</v>
      </c>
      <c r="J77" s="52" t="s">
        <v>628</v>
      </c>
      <c r="K77" s="52"/>
      <c r="L77" s="41" t="s">
        <v>1113</v>
      </c>
      <c r="M77" s="41"/>
      <c r="N77" s="42" t="s">
        <v>179</v>
      </c>
      <c r="O77" s="52"/>
      <c r="P77" s="52" t="s">
        <v>629</v>
      </c>
      <c r="Q77" s="52"/>
      <c r="R77" s="38" t="s">
        <v>1415</v>
      </c>
    </row>
    <row r="78" spans="1:18" ht="109.75" x14ac:dyDescent="0.25">
      <c r="A78" s="26" t="s">
        <v>365</v>
      </c>
      <c r="B78" s="27" t="s">
        <v>327</v>
      </c>
      <c r="C78" s="28" t="s">
        <v>905</v>
      </c>
      <c r="D78" s="28" t="s">
        <v>906</v>
      </c>
      <c r="E78" s="49">
        <v>39472</v>
      </c>
      <c r="F78" s="49">
        <v>37306</v>
      </c>
      <c r="G78" s="49">
        <v>38002</v>
      </c>
      <c r="H78" s="34" t="s">
        <v>228</v>
      </c>
      <c r="I78" s="28" t="s">
        <v>80</v>
      </c>
      <c r="J78" s="28" t="s">
        <v>34</v>
      </c>
      <c r="K78" s="28" t="s">
        <v>270</v>
      </c>
      <c r="L78" s="31" t="s">
        <v>1025</v>
      </c>
      <c r="N78" s="32" t="s">
        <v>207</v>
      </c>
      <c r="O78" s="28" t="s">
        <v>630</v>
      </c>
      <c r="P78" s="28" t="s">
        <v>50</v>
      </c>
      <c r="R78" s="2" t="s">
        <v>1416</v>
      </c>
    </row>
    <row r="79" spans="1:18" s="38" customFormat="1" ht="56.6" x14ac:dyDescent="0.25">
      <c r="A79" s="37" t="s">
        <v>366</v>
      </c>
      <c r="B79" s="38" t="s">
        <v>328</v>
      </c>
      <c r="C79" s="52" t="s">
        <v>907</v>
      </c>
      <c r="D79" s="52" t="s">
        <v>908</v>
      </c>
      <c r="E79" s="50">
        <v>42641</v>
      </c>
      <c r="F79" s="50">
        <v>42293</v>
      </c>
      <c r="G79" s="50">
        <v>42328</v>
      </c>
      <c r="H79" s="43" t="s">
        <v>228</v>
      </c>
      <c r="I79" s="52" t="s">
        <v>631</v>
      </c>
      <c r="J79" s="52"/>
      <c r="K79" s="52"/>
      <c r="L79" s="41" t="s">
        <v>1114</v>
      </c>
      <c r="M79" s="41"/>
      <c r="N79" s="42" t="s">
        <v>221</v>
      </c>
      <c r="O79" s="52" t="s">
        <v>1223</v>
      </c>
      <c r="P79" s="52" t="s">
        <v>1225</v>
      </c>
      <c r="Q79" s="52"/>
      <c r="R79" s="38" t="s">
        <v>1417</v>
      </c>
    </row>
    <row r="80" spans="1:18" ht="99" x14ac:dyDescent="0.25">
      <c r="C80" s="28" t="s">
        <v>632</v>
      </c>
      <c r="D80" s="28" t="s">
        <v>633</v>
      </c>
      <c r="G80" s="29" t="s">
        <v>1126</v>
      </c>
      <c r="H80" s="30" t="s">
        <v>495</v>
      </c>
      <c r="I80" s="28" t="s">
        <v>147</v>
      </c>
      <c r="J80" s="28" t="s">
        <v>634</v>
      </c>
      <c r="K80" s="28"/>
      <c r="L80" s="31" t="s">
        <v>1026</v>
      </c>
      <c r="N80" s="32" t="s">
        <v>635</v>
      </c>
      <c r="R80" s="2" t="s">
        <v>1418</v>
      </c>
    </row>
    <row r="81" spans="1:18" s="38" customFormat="1" ht="99" x14ac:dyDescent="0.25">
      <c r="A81" s="37" t="s">
        <v>1216</v>
      </c>
      <c r="B81" s="38" t="s">
        <v>1218</v>
      </c>
      <c r="C81" s="52" t="s">
        <v>909</v>
      </c>
      <c r="D81" s="52" t="s">
        <v>910</v>
      </c>
      <c r="E81" s="39"/>
      <c r="F81" s="50" t="s">
        <v>1243</v>
      </c>
      <c r="G81" s="39"/>
      <c r="H81" s="40" t="s">
        <v>126</v>
      </c>
      <c r="I81" s="53" t="s">
        <v>1245</v>
      </c>
      <c r="J81" s="53" t="s">
        <v>1247</v>
      </c>
      <c r="K81" s="52"/>
      <c r="L81" s="55" t="s">
        <v>1246</v>
      </c>
      <c r="M81" s="41"/>
      <c r="N81" s="42" t="s">
        <v>1244</v>
      </c>
      <c r="O81" s="52"/>
      <c r="P81" s="52"/>
      <c r="Q81" s="52"/>
      <c r="R81" s="38" t="s">
        <v>1419</v>
      </c>
    </row>
    <row r="82" spans="1:18" ht="113.15" x14ac:dyDescent="0.25">
      <c r="A82" s="26" t="s">
        <v>367</v>
      </c>
      <c r="B82" s="27" t="s">
        <v>320</v>
      </c>
      <c r="C82" s="28" t="s">
        <v>42</v>
      </c>
      <c r="D82" s="28" t="s">
        <v>1231</v>
      </c>
      <c r="F82" s="49"/>
      <c r="G82" s="49">
        <v>42516</v>
      </c>
      <c r="H82" s="34" t="s">
        <v>1139</v>
      </c>
      <c r="I82" s="28" t="s">
        <v>1233</v>
      </c>
      <c r="J82" s="28" t="s">
        <v>5</v>
      </c>
      <c r="K82" s="28" t="s">
        <v>271</v>
      </c>
      <c r="L82" s="31" t="s">
        <v>1234</v>
      </c>
      <c r="M82" s="31" t="s">
        <v>1235</v>
      </c>
      <c r="N82" s="32" t="s">
        <v>1236</v>
      </c>
      <c r="O82" s="28" t="s">
        <v>638</v>
      </c>
      <c r="P82" s="28" t="s">
        <v>460</v>
      </c>
      <c r="Q82" s="33" t="s">
        <v>16</v>
      </c>
      <c r="R82" s="2" t="s">
        <v>1420</v>
      </c>
    </row>
    <row r="83" spans="1:18" s="38" customFormat="1" ht="113.15" x14ac:dyDescent="0.25">
      <c r="A83" s="37" t="s">
        <v>367</v>
      </c>
      <c r="B83" s="38" t="s">
        <v>320</v>
      </c>
      <c r="C83" s="53" t="s">
        <v>1237</v>
      </c>
      <c r="D83" s="52" t="s">
        <v>911</v>
      </c>
      <c r="E83" s="39"/>
      <c r="F83" s="39"/>
      <c r="G83" s="50">
        <v>41527</v>
      </c>
      <c r="H83" s="43" t="s">
        <v>1135</v>
      </c>
      <c r="I83" s="52" t="s">
        <v>1232</v>
      </c>
      <c r="J83" s="52" t="s">
        <v>5</v>
      </c>
      <c r="K83" s="52" t="s">
        <v>271</v>
      </c>
      <c r="L83" s="41" t="s">
        <v>1234</v>
      </c>
      <c r="M83" s="41" t="s">
        <v>1235</v>
      </c>
      <c r="N83" s="42" t="s">
        <v>1240</v>
      </c>
      <c r="O83" s="52" t="s">
        <v>638</v>
      </c>
      <c r="P83" s="52" t="s">
        <v>460</v>
      </c>
      <c r="Q83" s="52" t="s">
        <v>16</v>
      </c>
      <c r="R83" s="38" t="s">
        <v>1421</v>
      </c>
    </row>
    <row r="84" spans="1:18" ht="169.75" x14ac:dyDescent="0.25">
      <c r="A84" s="26" t="s">
        <v>367</v>
      </c>
      <c r="B84" s="27" t="s">
        <v>320</v>
      </c>
      <c r="C84" s="28" t="s">
        <v>912</v>
      </c>
      <c r="D84" s="28" t="s">
        <v>913</v>
      </c>
      <c r="E84" s="49">
        <v>37273</v>
      </c>
      <c r="F84" s="49">
        <v>36031</v>
      </c>
      <c r="G84" s="49">
        <v>36385</v>
      </c>
      <c r="H84" s="34" t="s">
        <v>228</v>
      </c>
      <c r="I84" s="28" t="s">
        <v>1233</v>
      </c>
      <c r="J84" s="28" t="s">
        <v>5</v>
      </c>
      <c r="K84" s="28" t="s">
        <v>271</v>
      </c>
      <c r="L84" s="31" t="s">
        <v>1238</v>
      </c>
      <c r="M84" s="31" t="s">
        <v>437</v>
      </c>
      <c r="N84" s="32" t="s">
        <v>1239</v>
      </c>
      <c r="O84" s="28" t="s">
        <v>638</v>
      </c>
      <c r="P84" s="28" t="s">
        <v>460</v>
      </c>
      <c r="Q84" s="33" t="s">
        <v>16</v>
      </c>
      <c r="R84" s="2" t="s">
        <v>1422</v>
      </c>
    </row>
    <row r="85" spans="1:18" s="38" customFormat="1" ht="113.15" x14ac:dyDescent="0.25">
      <c r="A85" s="37" t="s">
        <v>367</v>
      </c>
      <c r="B85" s="38" t="s">
        <v>320</v>
      </c>
      <c r="C85" s="52" t="s">
        <v>914</v>
      </c>
      <c r="D85" s="53" t="s">
        <v>1241</v>
      </c>
      <c r="E85" s="50">
        <v>41824</v>
      </c>
      <c r="F85" s="50">
        <v>42465</v>
      </c>
      <c r="G85" s="50">
        <v>41527</v>
      </c>
      <c r="H85" s="43" t="s">
        <v>1135</v>
      </c>
      <c r="I85" s="53" t="s">
        <v>1232</v>
      </c>
      <c r="J85" s="53" t="s">
        <v>5</v>
      </c>
      <c r="K85" s="53" t="s">
        <v>271</v>
      </c>
      <c r="L85" s="41" t="s">
        <v>1234</v>
      </c>
      <c r="M85" s="41" t="s">
        <v>1235</v>
      </c>
      <c r="N85" s="42" t="s">
        <v>1242</v>
      </c>
      <c r="O85" s="52" t="s">
        <v>638</v>
      </c>
      <c r="P85" s="52" t="s">
        <v>460</v>
      </c>
      <c r="Q85" s="52"/>
      <c r="R85" s="38" t="s">
        <v>1423</v>
      </c>
    </row>
    <row r="86" spans="1:18" ht="137.15" x14ac:dyDescent="0.25">
      <c r="A86" s="26" t="s">
        <v>1211</v>
      </c>
      <c r="B86" s="27" t="s">
        <v>322</v>
      </c>
      <c r="C86" s="28" t="s">
        <v>639</v>
      </c>
      <c r="F86" s="29" t="s">
        <v>915</v>
      </c>
      <c r="G86" s="49"/>
      <c r="H86" s="30" t="s">
        <v>444</v>
      </c>
      <c r="I86" s="28" t="s">
        <v>80</v>
      </c>
      <c r="J86" s="28" t="s">
        <v>34</v>
      </c>
      <c r="K86" s="28" t="s">
        <v>272</v>
      </c>
      <c r="L86" s="31" t="s">
        <v>1115</v>
      </c>
      <c r="N86" s="32" t="s">
        <v>180</v>
      </c>
      <c r="P86" s="28" t="s">
        <v>1224</v>
      </c>
      <c r="R86" s="2" t="s">
        <v>1424</v>
      </c>
    </row>
    <row r="87" spans="1:18" s="38" customFormat="1" ht="81.45" x14ac:dyDescent="0.25">
      <c r="A87" s="37" t="s">
        <v>368</v>
      </c>
      <c r="B87" s="38" t="s">
        <v>322</v>
      </c>
      <c r="C87" s="52" t="s">
        <v>916</v>
      </c>
      <c r="D87" s="52" t="s">
        <v>917</v>
      </c>
      <c r="E87" s="50">
        <v>42188</v>
      </c>
      <c r="F87" s="50">
        <v>40627</v>
      </c>
      <c r="G87" s="50">
        <v>40737</v>
      </c>
      <c r="H87" s="43" t="s">
        <v>228</v>
      </c>
      <c r="I87" s="52" t="s">
        <v>81</v>
      </c>
      <c r="J87" s="52" t="s">
        <v>641</v>
      </c>
      <c r="K87" s="52" t="s">
        <v>272</v>
      </c>
      <c r="L87" s="41" t="s">
        <v>1028</v>
      </c>
      <c r="M87" s="41" t="s">
        <v>1116</v>
      </c>
      <c r="N87" s="42" t="s">
        <v>208</v>
      </c>
      <c r="O87" s="52" t="s">
        <v>642</v>
      </c>
      <c r="P87" s="52" t="s">
        <v>643</v>
      </c>
      <c r="Q87" s="52"/>
      <c r="R87" s="38" t="s">
        <v>1425</v>
      </c>
    </row>
    <row r="88" spans="1:18" ht="56.6" x14ac:dyDescent="0.25">
      <c r="A88" s="26" t="s">
        <v>1214</v>
      </c>
      <c r="B88" s="27" t="s">
        <v>320</v>
      </c>
      <c r="C88" s="28" t="s">
        <v>1226</v>
      </c>
      <c r="D88" s="28" t="s">
        <v>918</v>
      </c>
      <c r="E88" s="49">
        <v>42555</v>
      </c>
      <c r="F88" s="49">
        <v>42451</v>
      </c>
      <c r="G88" s="49">
        <v>42485</v>
      </c>
      <c r="H88" s="34" t="s">
        <v>1229</v>
      </c>
      <c r="I88" s="28" t="s">
        <v>644</v>
      </c>
      <c r="J88" s="28" t="s">
        <v>645</v>
      </c>
      <c r="K88" s="28"/>
      <c r="L88" s="51" t="s">
        <v>1230</v>
      </c>
      <c r="N88" s="32" t="s">
        <v>646</v>
      </c>
      <c r="O88" s="28" t="s">
        <v>1227</v>
      </c>
      <c r="P88" s="28" t="s">
        <v>1228</v>
      </c>
      <c r="R88" s="2" t="s">
        <v>1426</v>
      </c>
    </row>
    <row r="89" spans="1:18" s="38" customFormat="1" ht="81.45" x14ac:dyDescent="0.25">
      <c r="A89" s="37"/>
      <c r="C89" s="52" t="s">
        <v>647</v>
      </c>
      <c r="D89" s="52"/>
      <c r="E89" s="39"/>
      <c r="F89" s="39" t="s">
        <v>455</v>
      </c>
      <c r="G89" s="39"/>
      <c r="H89" s="44" t="s">
        <v>456</v>
      </c>
      <c r="I89" s="52" t="s">
        <v>31</v>
      </c>
      <c r="J89" s="52" t="s">
        <v>648</v>
      </c>
      <c r="K89" s="52"/>
      <c r="L89" s="41" t="s">
        <v>1029</v>
      </c>
      <c r="M89" s="41"/>
      <c r="N89" s="42" t="s">
        <v>241</v>
      </c>
      <c r="O89" s="52"/>
      <c r="P89" s="52" t="s">
        <v>649</v>
      </c>
      <c r="Q89" s="52"/>
      <c r="R89" s="38" t="s">
        <v>1427</v>
      </c>
    </row>
    <row r="90" spans="1:18" ht="126.45" x14ac:dyDescent="0.25">
      <c r="C90" s="28" t="s">
        <v>650</v>
      </c>
      <c r="F90" s="29" t="s">
        <v>462</v>
      </c>
      <c r="H90" s="35" t="s">
        <v>463</v>
      </c>
      <c r="I90" s="28" t="s">
        <v>82</v>
      </c>
      <c r="J90" s="28" t="s">
        <v>651</v>
      </c>
      <c r="K90" s="28"/>
      <c r="L90" s="31" t="s">
        <v>1117</v>
      </c>
      <c r="N90" s="32" t="s">
        <v>652</v>
      </c>
      <c r="R90" s="2" t="s">
        <v>1428</v>
      </c>
    </row>
    <row r="91" spans="1:18" s="38" customFormat="1" ht="177" x14ac:dyDescent="0.25">
      <c r="A91" s="37"/>
      <c r="C91" s="52" t="s">
        <v>653</v>
      </c>
      <c r="D91" s="52"/>
      <c r="E91" s="50"/>
      <c r="F91" s="50" t="s">
        <v>462</v>
      </c>
      <c r="G91" s="50"/>
      <c r="H91" s="44" t="s">
        <v>463</v>
      </c>
      <c r="I91" s="52" t="s">
        <v>101</v>
      </c>
      <c r="J91" s="52" t="s">
        <v>654</v>
      </c>
      <c r="K91" s="52" t="s">
        <v>273</v>
      </c>
      <c r="L91" s="41" t="s">
        <v>1118</v>
      </c>
      <c r="M91" s="41"/>
      <c r="N91" s="42" t="s">
        <v>655</v>
      </c>
      <c r="O91" s="52"/>
      <c r="P91" s="52" t="s">
        <v>629</v>
      </c>
      <c r="Q91" s="52"/>
      <c r="R91" s="38" t="s">
        <v>1429</v>
      </c>
    </row>
    <row r="92" spans="1:18" ht="68.150000000000006" x14ac:dyDescent="0.25">
      <c r="C92" s="28" t="s">
        <v>656</v>
      </c>
      <c r="E92" s="49"/>
      <c r="F92" s="49" t="s">
        <v>455</v>
      </c>
      <c r="G92" s="49"/>
      <c r="H92" s="35" t="s">
        <v>456</v>
      </c>
      <c r="I92" s="28" t="s">
        <v>147</v>
      </c>
      <c r="J92" s="28" t="s">
        <v>150</v>
      </c>
      <c r="K92" s="28"/>
      <c r="L92" s="31" t="s">
        <v>1030</v>
      </c>
      <c r="N92" s="32" t="s">
        <v>657</v>
      </c>
      <c r="R92" s="2" t="s">
        <v>1430</v>
      </c>
    </row>
    <row r="93" spans="1:18" s="38" customFormat="1" ht="94.75" x14ac:dyDescent="0.25">
      <c r="A93" s="37"/>
      <c r="C93" s="52" t="s">
        <v>658</v>
      </c>
      <c r="D93" s="52"/>
      <c r="E93" s="39"/>
      <c r="F93" s="39" t="s">
        <v>919</v>
      </c>
      <c r="G93" s="39"/>
      <c r="H93" s="40" t="s">
        <v>444</v>
      </c>
      <c r="I93" s="52" t="s">
        <v>659</v>
      </c>
      <c r="J93" s="52" t="s">
        <v>618</v>
      </c>
      <c r="K93" s="52"/>
      <c r="L93" s="41" t="s">
        <v>1119</v>
      </c>
      <c r="M93" s="41"/>
      <c r="N93" s="42" t="s">
        <v>183</v>
      </c>
      <c r="O93" s="52"/>
      <c r="P93" s="52"/>
      <c r="Q93" s="52"/>
      <c r="R93" s="38" t="s">
        <v>1431</v>
      </c>
    </row>
    <row r="94" spans="1:18" ht="127.3" x14ac:dyDescent="0.25">
      <c r="C94" s="28" t="s">
        <v>660</v>
      </c>
      <c r="F94" s="29" t="s">
        <v>455</v>
      </c>
      <c r="H94" s="35" t="s">
        <v>456</v>
      </c>
      <c r="I94" s="28" t="s">
        <v>151</v>
      </c>
      <c r="J94" s="28" t="s">
        <v>661</v>
      </c>
      <c r="K94" s="28" t="s">
        <v>250</v>
      </c>
      <c r="L94" s="31" t="s">
        <v>1120</v>
      </c>
      <c r="N94" s="32" t="s">
        <v>662</v>
      </c>
      <c r="P94" s="28" t="s">
        <v>663</v>
      </c>
      <c r="R94" s="2" t="s">
        <v>1432</v>
      </c>
    </row>
    <row r="95" spans="1:18" s="38" customFormat="1" ht="183.9" x14ac:dyDescent="0.25">
      <c r="A95" s="37"/>
      <c r="C95" s="52" t="s">
        <v>664</v>
      </c>
      <c r="D95" s="52"/>
      <c r="E95" s="39"/>
      <c r="F95" s="39" t="s">
        <v>455</v>
      </c>
      <c r="G95" s="39"/>
      <c r="H95" s="44" t="s">
        <v>456</v>
      </c>
      <c r="I95" s="52" t="s">
        <v>152</v>
      </c>
      <c r="J95" s="52" t="s">
        <v>665</v>
      </c>
      <c r="K95" s="52"/>
      <c r="L95" s="41" t="s">
        <v>1121</v>
      </c>
      <c r="M95" s="41"/>
      <c r="N95" s="42" t="s">
        <v>666</v>
      </c>
      <c r="O95" s="52"/>
      <c r="P95" s="52"/>
      <c r="Q95" s="52"/>
      <c r="R95" s="38" t="s">
        <v>1433</v>
      </c>
    </row>
    <row r="96" spans="1:18" ht="69" x14ac:dyDescent="0.25">
      <c r="C96" s="28" t="s">
        <v>674</v>
      </c>
      <c r="F96" s="29" t="s">
        <v>455</v>
      </c>
      <c r="H96" s="35" t="s">
        <v>456</v>
      </c>
      <c r="I96" s="28" t="s">
        <v>154</v>
      </c>
      <c r="J96" s="28" t="s">
        <v>675</v>
      </c>
      <c r="K96" s="28"/>
      <c r="L96" s="31" t="s">
        <v>1122</v>
      </c>
      <c r="N96" s="32" t="s">
        <v>185</v>
      </c>
      <c r="R96" s="2" t="s">
        <v>1434</v>
      </c>
    </row>
    <row r="97" spans="1:18" s="38" customFormat="1" ht="94.75" x14ac:dyDescent="0.25">
      <c r="A97" s="37"/>
      <c r="C97" s="52" t="s">
        <v>676</v>
      </c>
      <c r="D97" s="52"/>
      <c r="E97" s="39"/>
      <c r="F97" s="39" t="s">
        <v>455</v>
      </c>
      <c r="G97" s="39"/>
      <c r="H97" s="44" t="s">
        <v>456</v>
      </c>
      <c r="I97" s="52" t="s">
        <v>93</v>
      </c>
      <c r="J97" s="52" t="s">
        <v>677</v>
      </c>
      <c r="K97" s="52" t="s">
        <v>254</v>
      </c>
      <c r="L97" s="41" t="s">
        <v>1033</v>
      </c>
      <c r="M97" s="41"/>
      <c r="N97" s="42" t="s">
        <v>186</v>
      </c>
      <c r="O97" s="52"/>
      <c r="P97" s="52" t="s">
        <v>678</v>
      </c>
      <c r="Q97" s="52"/>
      <c r="R97" s="38" t="s">
        <v>1435</v>
      </c>
    </row>
    <row r="98" spans="1:18" ht="42.45" x14ac:dyDescent="0.25">
      <c r="A98" s="26" t="s">
        <v>1215</v>
      </c>
      <c r="B98" s="27" t="s">
        <v>330</v>
      </c>
      <c r="C98" s="28" t="s">
        <v>941</v>
      </c>
      <c r="D98" s="28" t="s">
        <v>942</v>
      </c>
      <c r="E98" s="49">
        <v>42457</v>
      </c>
      <c r="F98" s="49">
        <v>42312</v>
      </c>
      <c r="G98" s="49">
        <v>42340</v>
      </c>
      <c r="H98" s="34" t="s">
        <v>228</v>
      </c>
      <c r="I98" s="28" t="s">
        <v>101</v>
      </c>
      <c r="J98" s="28" t="s">
        <v>684</v>
      </c>
      <c r="K98" s="28" t="s">
        <v>254</v>
      </c>
      <c r="L98" s="31" t="s">
        <v>1036</v>
      </c>
      <c r="N98" s="32" t="s">
        <v>685</v>
      </c>
      <c r="P98" s="28" t="s">
        <v>686</v>
      </c>
      <c r="R98" s="2" t="s">
        <v>1436</v>
      </c>
    </row>
    <row r="99" spans="1:18" s="38" customFormat="1" ht="109.75" x14ac:dyDescent="0.25">
      <c r="A99" s="37"/>
      <c r="C99" s="52" t="s">
        <v>687</v>
      </c>
      <c r="D99" s="52"/>
      <c r="E99" s="50"/>
      <c r="F99" s="50" t="s">
        <v>455</v>
      </c>
      <c r="G99" s="50"/>
      <c r="H99" s="44" t="s">
        <v>456</v>
      </c>
      <c r="I99" s="52" t="s">
        <v>688</v>
      </c>
      <c r="J99" s="52" t="s">
        <v>689</v>
      </c>
      <c r="K99" s="52" t="s">
        <v>274</v>
      </c>
      <c r="L99" s="41" t="s">
        <v>1037</v>
      </c>
      <c r="M99" s="41"/>
      <c r="N99" s="42" t="s">
        <v>187</v>
      </c>
      <c r="O99" s="52"/>
      <c r="P99" s="52" t="s">
        <v>690</v>
      </c>
      <c r="Q99" s="52"/>
      <c r="R99" s="38" t="s">
        <v>1437</v>
      </c>
    </row>
    <row r="100" spans="1:18" ht="39.9" x14ac:dyDescent="0.25">
      <c r="C100" s="28" t="s">
        <v>691</v>
      </c>
      <c r="F100" s="29" t="s">
        <v>920</v>
      </c>
      <c r="H100" s="30" t="s">
        <v>444</v>
      </c>
      <c r="I100" s="28" t="s">
        <v>156</v>
      </c>
      <c r="J100" s="28" t="s">
        <v>692</v>
      </c>
      <c r="K100" s="28"/>
      <c r="L100" s="31" t="s">
        <v>1038</v>
      </c>
      <c r="N100" s="32" t="s">
        <v>222</v>
      </c>
      <c r="P100" s="28" t="s">
        <v>693</v>
      </c>
      <c r="R100" s="2" t="s">
        <v>1438</v>
      </c>
    </row>
    <row r="101" spans="1:18" s="38" customFormat="1" ht="240.45" x14ac:dyDescent="0.25">
      <c r="A101" s="37" t="s">
        <v>694</v>
      </c>
      <c r="B101" s="38" t="s">
        <v>322</v>
      </c>
      <c r="C101" s="52" t="s">
        <v>943</v>
      </c>
      <c r="D101" s="52" t="s">
        <v>944</v>
      </c>
      <c r="E101" s="50">
        <v>40998</v>
      </c>
      <c r="F101" s="39"/>
      <c r="G101" s="39"/>
      <c r="H101" s="43" t="s">
        <v>228</v>
      </c>
      <c r="I101" s="52" t="s">
        <v>695</v>
      </c>
      <c r="J101" s="52" t="s">
        <v>696</v>
      </c>
      <c r="K101" s="52" t="s">
        <v>275</v>
      </c>
      <c r="L101" s="41" t="s">
        <v>1039</v>
      </c>
      <c r="M101" s="41" t="s">
        <v>440</v>
      </c>
      <c r="N101" s="42" t="s">
        <v>697</v>
      </c>
      <c r="O101" s="52"/>
      <c r="P101" s="52" t="s">
        <v>698</v>
      </c>
      <c r="Q101" s="52"/>
      <c r="R101" s="38" t="s">
        <v>1439</v>
      </c>
    </row>
    <row r="102" spans="1:18" ht="28.3" x14ac:dyDescent="0.25">
      <c r="A102" s="26" t="s">
        <v>369</v>
      </c>
      <c r="B102" s="27" t="s">
        <v>329</v>
      </c>
      <c r="C102" s="28" t="s">
        <v>703</v>
      </c>
      <c r="E102" s="49"/>
      <c r="F102" s="29" t="s">
        <v>915</v>
      </c>
      <c r="H102" s="30" t="s">
        <v>444</v>
      </c>
      <c r="J102" s="28" t="s">
        <v>704</v>
      </c>
      <c r="K102" s="28"/>
      <c r="N102" s="32" t="s">
        <v>705</v>
      </c>
      <c r="R102" s="2" t="s">
        <v>1440</v>
      </c>
    </row>
    <row r="103" spans="1:18" s="38" customFormat="1" ht="94.75" x14ac:dyDescent="0.25">
      <c r="A103" s="37"/>
      <c r="C103" s="52" t="s">
        <v>699</v>
      </c>
      <c r="D103" s="52"/>
      <c r="E103" s="39"/>
      <c r="F103" s="39" t="s">
        <v>462</v>
      </c>
      <c r="G103" s="39"/>
      <c r="H103" s="44" t="s">
        <v>463</v>
      </c>
      <c r="I103" s="52" t="s">
        <v>105</v>
      </c>
      <c r="J103" s="52" t="s">
        <v>700</v>
      </c>
      <c r="K103" s="52" t="s">
        <v>272</v>
      </c>
      <c r="L103" s="41" t="s">
        <v>1040</v>
      </c>
      <c r="M103" s="41"/>
      <c r="N103" s="42" t="s">
        <v>701</v>
      </c>
      <c r="O103" s="52"/>
      <c r="P103" s="52" t="s">
        <v>702</v>
      </c>
      <c r="Q103" s="52"/>
      <c r="R103" s="38" t="s">
        <v>1441</v>
      </c>
    </row>
    <row r="104" spans="1:18" ht="70.75" x14ac:dyDescent="0.25">
      <c r="C104" s="28" t="s">
        <v>35</v>
      </c>
      <c r="D104" s="28" t="s">
        <v>706</v>
      </c>
      <c r="F104" s="49">
        <v>33861</v>
      </c>
      <c r="H104" s="34" t="s">
        <v>228</v>
      </c>
      <c r="I104" s="28" t="s">
        <v>109</v>
      </c>
      <c r="J104" s="28" t="s">
        <v>36</v>
      </c>
      <c r="K104" s="28" t="s">
        <v>276</v>
      </c>
      <c r="L104" s="31" t="s">
        <v>1041</v>
      </c>
      <c r="N104" s="32" t="s">
        <v>707</v>
      </c>
      <c r="O104" s="28" t="s">
        <v>708</v>
      </c>
      <c r="P104" s="28" t="s">
        <v>111</v>
      </c>
      <c r="R104" s="2" t="s">
        <v>1442</v>
      </c>
    </row>
    <row r="105" spans="1:18" s="38" customFormat="1" ht="28.3" x14ac:dyDescent="0.25">
      <c r="A105" s="37"/>
      <c r="C105" s="52" t="s">
        <v>39</v>
      </c>
      <c r="D105" s="52" t="s">
        <v>921</v>
      </c>
      <c r="E105" s="39"/>
      <c r="F105" s="50"/>
      <c r="G105" s="39" t="s">
        <v>444</v>
      </c>
      <c r="H105" s="40" t="s">
        <v>1140</v>
      </c>
      <c r="I105" s="52"/>
      <c r="J105" s="52"/>
      <c r="K105" s="52"/>
      <c r="L105" s="41"/>
      <c r="M105" s="41"/>
      <c r="N105" s="42"/>
      <c r="O105" s="52"/>
      <c r="P105" s="52"/>
      <c r="Q105" s="52"/>
      <c r="R105" s="38" t="s">
        <v>1443</v>
      </c>
    </row>
    <row r="106" spans="1:18" ht="84.9" x14ac:dyDescent="0.25">
      <c r="A106" s="26" t="s">
        <v>370</v>
      </c>
      <c r="B106" s="27" t="s">
        <v>320</v>
      </c>
      <c r="C106" s="28" t="s">
        <v>945</v>
      </c>
      <c r="D106" s="28" t="s">
        <v>946</v>
      </c>
      <c r="E106" s="49">
        <v>41722</v>
      </c>
      <c r="F106" s="49">
        <v>38314</v>
      </c>
      <c r="G106" s="49">
        <v>38895</v>
      </c>
      <c r="H106" s="34" t="s">
        <v>228</v>
      </c>
      <c r="I106" s="28" t="s">
        <v>299</v>
      </c>
      <c r="J106" s="28" t="s">
        <v>709</v>
      </c>
      <c r="K106" s="28" t="s">
        <v>319</v>
      </c>
      <c r="L106" s="31" t="s">
        <v>1042</v>
      </c>
      <c r="N106" s="32" t="s">
        <v>710</v>
      </c>
      <c r="O106" s="28" t="s">
        <v>711</v>
      </c>
      <c r="P106" s="28" t="s">
        <v>712</v>
      </c>
      <c r="Q106" s="33" t="s">
        <v>713</v>
      </c>
      <c r="R106" s="2" t="s">
        <v>1444</v>
      </c>
    </row>
    <row r="107" spans="1:18" s="38" customFormat="1" ht="82.3" x14ac:dyDescent="0.25">
      <c r="A107" s="37" t="s">
        <v>1210</v>
      </c>
      <c r="B107" s="38" t="s">
        <v>329</v>
      </c>
      <c r="C107" s="52" t="s">
        <v>714</v>
      </c>
      <c r="D107" s="52" t="s">
        <v>922</v>
      </c>
      <c r="E107" s="50"/>
      <c r="F107" s="50">
        <v>42332</v>
      </c>
      <c r="G107" s="50">
        <v>42415</v>
      </c>
      <c r="H107" s="43" t="s">
        <v>1138</v>
      </c>
      <c r="I107" s="52" t="s">
        <v>157</v>
      </c>
      <c r="J107" s="52" t="s">
        <v>38</v>
      </c>
      <c r="K107" s="52"/>
      <c r="L107" s="41" t="s">
        <v>1043</v>
      </c>
      <c r="M107" s="41"/>
      <c r="N107" s="42" t="s">
        <v>188</v>
      </c>
      <c r="O107" s="52"/>
      <c r="P107" s="52"/>
      <c r="Q107" s="52"/>
      <c r="R107" s="38" t="s">
        <v>1445</v>
      </c>
    </row>
    <row r="108" spans="1:18" x14ac:dyDescent="0.25">
      <c r="A108" s="26" t="s">
        <v>371</v>
      </c>
      <c r="B108" s="27" t="s">
        <v>322</v>
      </c>
      <c r="C108" s="28" t="s">
        <v>714</v>
      </c>
      <c r="E108" s="49"/>
      <c r="F108" s="49" t="s">
        <v>462</v>
      </c>
      <c r="G108" s="49"/>
      <c r="H108" s="35" t="s">
        <v>1141</v>
      </c>
      <c r="K108" s="28"/>
      <c r="R108" s="2" t="s">
        <v>1446</v>
      </c>
    </row>
    <row r="109" spans="1:18" s="38" customFormat="1" ht="56.6" x14ac:dyDescent="0.25">
      <c r="A109" s="37"/>
      <c r="C109" s="52" t="s">
        <v>715</v>
      </c>
      <c r="D109" s="52"/>
      <c r="E109" s="39"/>
      <c r="F109" s="39" t="s">
        <v>923</v>
      </c>
      <c r="G109" s="39"/>
      <c r="H109" s="40" t="s">
        <v>444</v>
      </c>
      <c r="I109" s="52" t="s">
        <v>105</v>
      </c>
      <c r="J109" s="52" t="s">
        <v>716</v>
      </c>
      <c r="K109" s="52" t="s">
        <v>277</v>
      </c>
      <c r="L109" s="41" t="s">
        <v>1044</v>
      </c>
      <c r="M109" s="41"/>
      <c r="N109" s="42" t="s">
        <v>717</v>
      </c>
      <c r="O109" s="52"/>
      <c r="P109" s="52"/>
      <c r="Q109" s="52"/>
      <c r="R109" s="38" t="s">
        <v>1447</v>
      </c>
    </row>
    <row r="110" spans="1:18" ht="70.75" x14ac:dyDescent="0.25">
      <c r="C110" s="28" t="s">
        <v>230</v>
      </c>
      <c r="D110" s="28" t="s">
        <v>718</v>
      </c>
      <c r="E110" s="29" t="s">
        <v>462</v>
      </c>
      <c r="F110" s="29">
        <v>2015</v>
      </c>
      <c r="H110" s="34" t="s">
        <v>228</v>
      </c>
      <c r="I110" s="28" t="s">
        <v>719</v>
      </c>
      <c r="J110" s="28" t="s">
        <v>38</v>
      </c>
      <c r="K110" s="28"/>
      <c r="L110" s="31" t="s">
        <v>441</v>
      </c>
      <c r="N110" s="32" t="s">
        <v>720</v>
      </c>
      <c r="R110" s="2" t="s">
        <v>1448</v>
      </c>
    </row>
    <row r="111" spans="1:18" s="38" customFormat="1" ht="28.3" x14ac:dyDescent="0.25">
      <c r="A111" s="37" t="s">
        <v>372</v>
      </c>
      <c r="B111" s="38" t="s">
        <v>322</v>
      </c>
      <c r="C111" s="52" t="s">
        <v>56</v>
      </c>
      <c r="D111" s="52" t="s">
        <v>924</v>
      </c>
      <c r="E111" s="50"/>
      <c r="F111" s="39"/>
      <c r="G111" s="39" t="s">
        <v>1132</v>
      </c>
      <c r="H111" s="40" t="s">
        <v>1136</v>
      </c>
      <c r="I111" s="52"/>
      <c r="J111" s="52"/>
      <c r="K111" s="52"/>
      <c r="L111" s="41"/>
      <c r="M111" s="41"/>
      <c r="N111" s="42"/>
      <c r="O111" s="52"/>
      <c r="P111" s="52"/>
      <c r="Q111" s="52"/>
      <c r="R111" s="38" t="s">
        <v>1449</v>
      </c>
    </row>
    <row r="112" spans="1:18" ht="66.45" x14ac:dyDescent="0.25">
      <c r="A112" s="26" t="s">
        <v>372</v>
      </c>
      <c r="B112" s="27" t="s">
        <v>322</v>
      </c>
      <c r="C112" s="28" t="s">
        <v>947</v>
      </c>
      <c r="D112" s="28" t="s">
        <v>948</v>
      </c>
      <c r="E112" s="49">
        <v>41824</v>
      </c>
      <c r="F112" s="49">
        <v>42067</v>
      </c>
      <c r="G112" s="49">
        <v>42174</v>
      </c>
      <c r="H112" s="34" t="s">
        <v>228</v>
      </c>
      <c r="I112" s="28" t="s">
        <v>98</v>
      </c>
      <c r="J112" s="28" t="s">
        <v>57</v>
      </c>
      <c r="K112" s="28"/>
      <c r="L112" s="31" t="s">
        <v>1045</v>
      </c>
      <c r="N112" s="32" t="s">
        <v>209</v>
      </c>
      <c r="O112" s="28" t="s">
        <v>721</v>
      </c>
      <c r="P112" s="28" t="s">
        <v>58</v>
      </c>
      <c r="R112" s="2" t="s">
        <v>1450</v>
      </c>
    </row>
    <row r="113" spans="1:18" s="38" customFormat="1" ht="70.75" x14ac:dyDescent="0.25">
      <c r="A113" s="37"/>
      <c r="C113" s="52" t="s">
        <v>925</v>
      </c>
      <c r="D113" s="52" t="s">
        <v>926</v>
      </c>
      <c r="E113" s="50"/>
      <c r="F113" s="50">
        <v>35297</v>
      </c>
      <c r="G113" s="50"/>
      <c r="H113" s="43" t="s">
        <v>1135</v>
      </c>
      <c r="I113" s="52" t="s">
        <v>1190</v>
      </c>
      <c r="J113" s="52" t="s">
        <v>1191</v>
      </c>
      <c r="K113" s="52"/>
      <c r="L113" s="41" t="s">
        <v>1204</v>
      </c>
      <c r="M113" s="41"/>
      <c r="N113" s="42" t="s">
        <v>1192</v>
      </c>
      <c r="O113" s="52"/>
      <c r="P113" s="52"/>
      <c r="Q113" s="52"/>
      <c r="R113" s="38" t="s">
        <v>1451</v>
      </c>
    </row>
    <row r="114" spans="1:18" ht="28.3" x14ac:dyDescent="0.25">
      <c r="C114" s="28" t="s">
        <v>927</v>
      </c>
      <c r="D114" s="28" t="s">
        <v>928</v>
      </c>
      <c r="F114" s="49">
        <v>42447</v>
      </c>
      <c r="H114" s="34" t="s">
        <v>1135</v>
      </c>
      <c r="I114" s="28" t="s">
        <v>1197</v>
      </c>
      <c r="J114" s="28" t="s">
        <v>34</v>
      </c>
      <c r="K114" s="28"/>
      <c r="L114" s="31" t="s">
        <v>1205</v>
      </c>
      <c r="N114" s="32" t="s">
        <v>1196</v>
      </c>
      <c r="R114" s="2" t="s">
        <v>1452</v>
      </c>
    </row>
    <row r="115" spans="1:18" s="38" customFormat="1" ht="56.6" x14ac:dyDescent="0.25">
      <c r="A115" s="37" t="s">
        <v>373</v>
      </c>
      <c r="B115" s="38" t="s">
        <v>322</v>
      </c>
      <c r="C115" s="52" t="s">
        <v>49</v>
      </c>
      <c r="D115" s="52" t="s">
        <v>929</v>
      </c>
      <c r="E115" s="39"/>
      <c r="F115" s="50">
        <v>41579</v>
      </c>
      <c r="G115" s="50">
        <v>41843</v>
      </c>
      <c r="H115" s="43" t="s">
        <v>228</v>
      </c>
      <c r="I115" s="52" t="s">
        <v>722</v>
      </c>
      <c r="J115" s="52" t="s">
        <v>34</v>
      </c>
      <c r="K115" s="52" t="s">
        <v>270</v>
      </c>
      <c r="L115" s="41" t="s">
        <v>442</v>
      </c>
      <c r="M115" s="41"/>
      <c r="N115" s="42" t="s">
        <v>210</v>
      </c>
      <c r="O115" s="52" t="s">
        <v>723</v>
      </c>
      <c r="P115" s="52" t="s">
        <v>50</v>
      </c>
      <c r="Q115" s="52"/>
      <c r="R115" s="38" t="s">
        <v>1453</v>
      </c>
    </row>
    <row r="116" spans="1:18" ht="54" x14ac:dyDescent="0.25">
      <c r="A116" s="26" t="s">
        <v>1213</v>
      </c>
      <c r="B116" s="27" t="s">
        <v>320</v>
      </c>
      <c r="C116" s="28" t="s">
        <v>724</v>
      </c>
      <c r="E116" s="49"/>
      <c r="F116" s="49" t="s">
        <v>930</v>
      </c>
      <c r="G116" s="49"/>
      <c r="H116" s="30" t="s">
        <v>444</v>
      </c>
      <c r="I116" s="28" t="s">
        <v>93</v>
      </c>
      <c r="J116" s="28" t="s">
        <v>34</v>
      </c>
      <c r="K116" s="28" t="s">
        <v>270</v>
      </c>
      <c r="L116" s="31" t="s">
        <v>1046</v>
      </c>
      <c r="N116" s="32" t="s">
        <v>189</v>
      </c>
      <c r="P116" s="28" t="s">
        <v>50</v>
      </c>
      <c r="R116" s="2" t="s">
        <v>1454</v>
      </c>
    </row>
    <row r="117" spans="1:18" s="38" customFormat="1" ht="141.44999999999999" x14ac:dyDescent="0.25">
      <c r="A117" s="37" t="s">
        <v>374</v>
      </c>
      <c r="B117" s="38" t="s">
        <v>322</v>
      </c>
      <c r="C117" s="52" t="s">
        <v>949</v>
      </c>
      <c r="D117" s="52" t="s">
        <v>950</v>
      </c>
      <c r="E117" s="50">
        <v>41358</v>
      </c>
      <c r="F117" s="50">
        <v>40112</v>
      </c>
      <c r="G117" s="50">
        <v>40287</v>
      </c>
      <c r="H117" s="43" t="s">
        <v>228</v>
      </c>
      <c r="I117" s="52" t="s">
        <v>83</v>
      </c>
      <c r="J117" s="52" t="s">
        <v>34</v>
      </c>
      <c r="K117" s="52" t="s">
        <v>270</v>
      </c>
      <c r="L117" s="41" t="s">
        <v>1047</v>
      </c>
      <c r="M117" s="41"/>
      <c r="N117" s="42" t="s">
        <v>725</v>
      </c>
      <c r="O117" s="52"/>
      <c r="P117" s="52" t="s">
        <v>50</v>
      </c>
      <c r="Q117" s="52" t="s">
        <v>726</v>
      </c>
      <c r="R117" s="38" t="s">
        <v>1455</v>
      </c>
    </row>
    <row r="118" spans="1:18" ht="96.45" x14ac:dyDescent="0.25">
      <c r="C118" s="28" t="s">
        <v>1200</v>
      </c>
      <c r="D118" s="28" t="s">
        <v>1198</v>
      </c>
      <c r="E118" s="49"/>
      <c r="F118" s="49">
        <v>42662</v>
      </c>
      <c r="G118" s="49">
        <v>42683</v>
      </c>
      <c r="H118" s="34" t="s">
        <v>1142</v>
      </c>
      <c r="I118" s="28" t="s">
        <v>1202</v>
      </c>
      <c r="J118" s="28" t="s">
        <v>1206</v>
      </c>
      <c r="K118" s="28"/>
      <c r="L118" s="31" t="s">
        <v>1207</v>
      </c>
      <c r="M118" s="31" t="s">
        <v>1201</v>
      </c>
      <c r="N118" s="32" t="s">
        <v>1199</v>
      </c>
      <c r="R118" s="2" t="s">
        <v>1456</v>
      </c>
    </row>
    <row r="119" spans="1:18" s="38" customFormat="1" ht="84.9" x14ac:dyDescent="0.25">
      <c r="A119" s="37" t="s">
        <v>375</v>
      </c>
      <c r="B119" s="38" t="s">
        <v>330</v>
      </c>
      <c r="C119" s="52" t="s">
        <v>951</v>
      </c>
      <c r="D119" s="52" t="s">
        <v>952</v>
      </c>
      <c r="E119" s="50">
        <v>39834</v>
      </c>
      <c r="F119" s="50">
        <v>37792</v>
      </c>
      <c r="G119" s="50">
        <v>38650</v>
      </c>
      <c r="H119" s="43" t="s">
        <v>228</v>
      </c>
      <c r="I119" s="52" t="s">
        <v>84</v>
      </c>
      <c r="J119" s="52" t="s">
        <v>727</v>
      </c>
      <c r="K119" s="52" t="s">
        <v>278</v>
      </c>
      <c r="L119" s="41" t="s">
        <v>1048</v>
      </c>
      <c r="M119" s="41"/>
      <c r="N119" s="42" t="s">
        <v>728</v>
      </c>
      <c r="O119" s="52" t="s">
        <v>729</v>
      </c>
      <c r="P119" s="52" t="s">
        <v>17</v>
      </c>
      <c r="Q119" s="52" t="s">
        <v>18</v>
      </c>
      <c r="R119" s="38" t="s">
        <v>1457</v>
      </c>
    </row>
    <row r="120" spans="1:18" ht="109.75" x14ac:dyDescent="0.25">
      <c r="C120" s="28" t="s">
        <v>730</v>
      </c>
      <c r="E120" s="49"/>
      <c r="F120" s="49" t="s">
        <v>455</v>
      </c>
      <c r="G120" s="49"/>
      <c r="H120" s="35" t="s">
        <v>456</v>
      </c>
      <c r="I120" s="28" t="s">
        <v>731</v>
      </c>
      <c r="J120" s="28" t="s">
        <v>36</v>
      </c>
      <c r="K120" s="28" t="s">
        <v>276</v>
      </c>
      <c r="L120" s="31" t="s">
        <v>1049</v>
      </c>
      <c r="N120" s="32" t="s">
        <v>239</v>
      </c>
      <c r="P120" s="28" t="s">
        <v>111</v>
      </c>
      <c r="R120" s="2" t="s">
        <v>1458</v>
      </c>
    </row>
    <row r="121" spans="1:18" s="38" customFormat="1" ht="94.75" x14ac:dyDescent="0.25">
      <c r="A121" s="37"/>
      <c r="C121" s="52" t="s">
        <v>732</v>
      </c>
      <c r="D121" s="52"/>
      <c r="E121" s="39"/>
      <c r="F121" s="39" t="s">
        <v>455</v>
      </c>
      <c r="G121" s="39"/>
      <c r="H121" s="44" t="s">
        <v>456</v>
      </c>
      <c r="I121" s="52" t="s">
        <v>85</v>
      </c>
      <c r="J121" s="52" t="s">
        <v>86</v>
      </c>
      <c r="K121" s="52"/>
      <c r="L121" s="41" t="s">
        <v>1050</v>
      </c>
      <c r="M121" s="41"/>
      <c r="N121" s="42" t="s">
        <v>733</v>
      </c>
      <c r="O121" s="52"/>
      <c r="P121" s="52" t="s">
        <v>734</v>
      </c>
      <c r="Q121" s="52"/>
      <c r="R121" s="38" t="s">
        <v>1459</v>
      </c>
    </row>
    <row r="122" spans="1:18" ht="70.75" x14ac:dyDescent="0.25">
      <c r="A122" s="26" t="s">
        <v>376</v>
      </c>
      <c r="B122" s="27" t="s">
        <v>329</v>
      </c>
      <c r="C122" s="28" t="s">
        <v>953</v>
      </c>
      <c r="D122" s="28" t="s">
        <v>954</v>
      </c>
      <c r="E122" s="49">
        <v>41506</v>
      </c>
      <c r="F122" s="49">
        <v>35965</v>
      </c>
      <c r="G122" s="49">
        <v>36385</v>
      </c>
      <c r="H122" s="34" t="s">
        <v>228</v>
      </c>
      <c r="I122" s="28" t="s">
        <v>735</v>
      </c>
      <c r="J122" s="28" t="s">
        <v>736</v>
      </c>
      <c r="K122" s="28"/>
      <c r="L122" s="31" t="s">
        <v>1051</v>
      </c>
      <c r="N122" s="32" t="s">
        <v>211</v>
      </c>
      <c r="P122" s="28" t="s">
        <v>737</v>
      </c>
      <c r="R122" s="2" t="s">
        <v>1460</v>
      </c>
    </row>
    <row r="123" spans="1:18" s="38" customFormat="1" ht="70.75" x14ac:dyDescent="0.25">
      <c r="A123" s="37" t="s">
        <v>377</v>
      </c>
      <c r="B123" s="38" t="s">
        <v>322</v>
      </c>
      <c r="C123" s="52" t="s">
        <v>955</v>
      </c>
      <c r="D123" s="52" t="s">
        <v>956</v>
      </c>
      <c r="E123" s="50">
        <v>40284</v>
      </c>
      <c r="F123" s="50">
        <v>38987</v>
      </c>
      <c r="G123" s="50">
        <v>39419</v>
      </c>
      <c r="H123" s="43" t="s">
        <v>228</v>
      </c>
      <c r="I123" s="52" t="s">
        <v>31</v>
      </c>
      <c r="J123" s="52" t="s">
        <v>38</v>
      </c>
      <c r="K123" s="52" t="s">
        <v>261</v>
      </c>
      <c r="L123" s="41" t="s">
        <v>1052</v>
      </c>
      <c r="M123" s="41"/>
      <c r="N123" s="42" t="s">
        <v>738</v>
      </c>
      <c r="O123" s="52" t="s">
        <v>739</v>
      </c>
      <c r="P123" s="52" t="s">
        <v>558</v>
      </c>
      <c r="Q123" s="52"/>
      <c r="R123" s="38" t="s">
        <v>1461</v>
      </c>
    </row>
    <row r="124" spans="1:18" ht="28.3" x14ac:dyDescent="0.25">
      <c r="C124" s="28" t="s">
        <v>740</v>
      </c>
      <c r="E124" s="49"/>
      <c r="F124" s="49" t="s">
        <v>931</v>
      </c>
      <c r="G124" s="49"/>
      <c r="H124" s="30" t="s">
        <v>444</v>
      </c>
      <c r="I124" s="28" t="s">
        <v>101</v>
      </c>
      <c r="J124" s="28" t="s">
        <v>741</v>
      </c>
      <c r="K124" s="28"/>
      <c r="L124" s="31" t="s">
        <v>1053</v>
      </c>
      <c r="N124" s="32" t="s">
        <v>199</v>
      </c>
      <c r="R124" s="2" t="s">
        <v>1462</v>
      </c>
    </row>
    <row r="125" spans="1:18" s="38" customFormat="1" ht="70.75" x14ac:dyDescent="0.25">
      <c r="A125" s="37" t="s">
        <v>378</v>
      </c>
      <c r="B125" s="38" t="s">
        <v>322</v>
      </c>
      <c r="C125" s="52" t="s">
        <v>957</v>
      </c>
      <c r="D125" s="52" t="s">
        <v>958</v>
      </c>
      <c r="E125" s="50">
        <v>42641</v>
      </c>
      <c r="F125" s="50">
        <v>41886</v>
      </c>
      <c r="G125" s="50">
        <v>42202</v>
      </c>
      <c r="H125" s="43" t="s">
        <v>228</v>
      </c>
      <c r="I125" s="52" t="s">
        <v>742</v>
      </c>
      <c r="J125" s="52" t="s">
        <v>57</v>
      </c>
      <c r="K125" s="52"/>
      <c r="L125" s="41" t="s">
        <v>1054</v>
      </c>
      <c r="M125" s="41"/>
      <c r="N125" s="42" t="s">
        <v>743</v>
      </c>
      <c r="O125" s="52" t="s">
        <v>744</v>
      </c>
      <c r="P125" s="52" t="s">
        <v>58</v>
      </c>
      <c r="Q125" s="52"/>
      <c r="R125" s="38" t="s">
        <v>1463</v>
      </c>
    </row>
    <row r="126" spans="1:18" ht="99" x14ac:dyDescent="0.25">
      <c r="C126" s="28" t="s">
        <v>745</v>
      </c>
      <c r="E126" s="49"/>
      <c r="F126" s="49" t="s">
        <v>932</v>
      </c>
      <c r="G126" s="49"/>
      <c r="H126" s="30" t="s">
        <v>444</v>
      </c>
      <c r="I126" s="28" t="s">
        <v>158</v>
      </c>
      <c r="J126" s="28" t="s">
        <v>746</v>
      </c>
      <c r="K126" s="28"/>
      <c r="L126" s="31" t="s">
        <v>1194</v>
      </c>
      <c r="N126" s="32" t="s">
        <v>747</v>
      </c>
      <c r="R126" s="2" t="s">
        <v>1464</v>
      </c>
    </row>
    <row r="127" spans="1:18" s="38" customFormat="1" ht="70.75" x14ac:dyDescent="0.25">
      <c r="A127" s="37" t="s">
        <v>379</v>
      </c>
      <c r="B127" s="38" t="s">
        <v>322</v>
      </c>
      <c r="C127" s="52" t="s">
        <v>959</v>
      </c>
      <c r="D127" s="52" t="s">
        <v>960</v>
      </c>
      <c r="E127" s="50">
        <v>41453</v>
      </c>
      <c r="F127" s="50">
        <v>41068</v>
      </c>
      <c r="G127" s="50">
        <v>41337</v>
      </c>
      <c r="H127" s="43" t="s">
        <v>228</v>
      </c>
      <c r="I127" s="52" t="s">
        <v>19</v>
      </c>
      <c r="J127" s="52" t="s">
        <v>37</v>
      </c>
      <c r="K127" s="52" t="s">
        <v>279</v>
      </c>
      <c r="L127" s="41" t="s">
        <v>1055</v>
      </c>
      <c r="M127" s="41"/>
      <c r="N127" s="42" t="s">
        <v>212</v>
      </c>
      <c r="O127" s="52" t="s">
        <v>748</v>
      </c>
      <c r="P127" s="52" t="s">
        <v>46</v>
      </c>
      <c r="Q127" s="52" t="s">
        <v>20</v>
      </c>
      <c r="R127" s="38" t="s">
        <v>1465</v>
      </c>
    </row>
    <row r="128" spans="1:18" ht="149.6" x14ac:dyDescent="0.25">
      <c r="C128" s="28" t="s">
        <v>749</v>
      </c>
      <c r="E128" s="49"/>
      <c r="F128" s="49" t="s">
        <v>455</v>
      </c>
      <c r="G128" s="49"/>
      <c r="H128" s="35" t="s">
        <v>456</v>
      </c>
      <c r="I128" s="28" t="s">
        <v>87</v>
      </c>
      <c r="J128" s="28" t="s">
        <v>57</v>
      </c>
      <c r="K128" s="28"/>
      <c r="L128" s="31" t="s">
        <v>1056</v>
      </c>
      <c r="N128" s="32" t="s">
        <v>750</v>
      </c>
      <c r="P128" s="28" t="s">
        <v>58</v>
      </c>
      <c r="R128" s="2" t="s">
        <v>1466</v>
      </c>
    </row>
    <row r="129" spans="1:18" s="38" customFormat="1" ht="95.6" x14ac:dyDescent="0.25">
      <c r="A129" s="37"/>
      <c r="C129" s="52" t="s">
        <v>751</v>
      </c>
      <c r="D129" s="52"/>
      <c r="E129" s="50"/>
      <c r="F129" s="50" t="s">
        <v>455</v>
      </c>
      <c r="G129" s="50"/>
      <c r="H129" s="44" t="s">
        <v>456</v>
      </c>
      <c r="I129" s="52" t="s">
        <v>159</v>
      </c>
      <c r="J129" s="52" t="s">
        <v>752</v>
      </c>
      <c r="K129" s="52"/>
      <c r="L129" s="41" t="s">
        <v>1057</v>
      </c>
      <c r="M129" s="41"/>
      <c r="N129" s="42" t="s">
        <v>753</v>
      </c>
      <c r="O129" s="52"/>
      <c r="P129" s="52"/>
      <c r="Q129" s="52"/>
      <c r="R129" s="38" t="s">
        <v>1467</v>
      </c>
    </row>
    <row r="130" spans="1:18" ht="40.75" x14ac:dyDescent="0.25">
      <c r="C130" s="28" t="s">
        <v>754</v>
      </c>
      <c r="F130" s="29" t="s">
        <v>455</v>
      </c>
      <c r="H130" s="35" t="s">
        <v>456</v>
      </c>
      <c r="I130" s="28" t="s">
        <v>157</v>
      </c>
      <c r="J130" s="28" t="s">
        <v>160</v>
      </c>
      <c r="K130" s="28"/>
      <c r="L130" s="31" t="s">
        <v>1058</v>
      </c>
      <c r="N130" s="32" t="s">
        <v>161</v>
      </c>
      <c r="R130" s="2" t="s">
        <v>1468</v>
      </c>
    </row>
    <row r="131" spans="1:18" s="38" customFormat="1" ht="66.45" x14ac:dyDescent="0.25">
      <c r="A131" s="37" t="s">
        <v>380</v>
      </c>
      <c r="B131" s="38" t="s">
        <v>322</v>
      </c>
      <c r="C131" s="52" t="s">
        <v>961</v>
      </c>
      <c r="D131" s="52" t="s">
        <v>962</v>
      </c>
      <c r="E131" s="50">
        <v>42089</v>
      </c>
      <c r="F131" s="50">
        <v>41750</v>
      </c>
      <c r="G131" s="50">
        <v>41992</v>
      </c>
      <c r="H131" s="43" t="s">
        <v>228</v>
      </c>
      <c r="I131" s="52" t="s">
        <v>755</v>
      </c>
      <c r="J131" s="52" t="s">
        <v>756</v>
      </c>
      <c r="K131" s="52" t="s">
        <v>280</v>
      </c>
      <c r="L131" s="41" t="s">
        <v>1059</v>
      </c>
      <c r="M131" s="41"/>
      <c r="N131" s="42" t="s">
        <v>213</v>
      </c>
      <c r="O131" s="52"/>
      <c r="P131" s="52" t="s">
        <v>757</v>
      </c>
      <c r="Q131" s="52"/>
      <c r="R131" s="38" t="s">
        <v>1469</v>
      </c>
    </row>
    <row r="132" spans="1:18" ht="56.6" x14ac:dyDescent="0.25">
      <c r="A132" s="26" t="s">
        <v>381</v>
      </c>
      <c r="B132" s="27" t="s">
        <v>323</v>
      </c>
      <c r="C132" s="28" t="s">
        <v>963</v>
      </c>
      <c r="D132" s="28" t="s">
        <v>964</v>
      </c>
      <c r="E132" s="49">
        <v>39834</v>
      </c>
      <c r="F132" s="49">
        <v>38898</v>
      </c>
      <c r="G132" s="49">
        <v>39104</v>
      </c>
      <c r="H132" s="34" t="s">
        <v>228</v>
      </c>
      <c r="I132" s="28" t="s">
        <v>82</v>
      </c>
      <c r="J132" s="28" t="s">
        <v>53</v>
      </c>
      <c r="K132" s="28" t="s">
        <v>281</v>
      </c>
      <c r="L132" s="31" t="s">
        <v>1060</v>
      </c>
      <c r="N132" s="32" t="s">
        <v>758</v>
      </c>
      <c r="O132" s="28" t="s">
        <v>759</v>
      </c>
      <c r="P132" s="28" t="s">
        <v>529</v>
      </c>
      <c r="R132" s="2" t="s">
        <v>1470</v>
      </c>
    </row>
    <row r="133" spans="1:18" s="38" customFormat="1" ht="70.75" x14ac:dyDescent="0.25">
      <c r="A133" s="37" t="s">
        <v>383</v>
      </c>
      <c r="B133" s="38" t="s">
        <v>329</v>
      </c>
      <c r="C133" s="52" t="s">
        <v>106</v>
      </c>
      <c r="D133" s="52" t="s">
        <v>933</v>
      </c>
      <c r="E133" s="50"/>
      <c r="F133" s="50">
        <v>41257</v>
      </c>
      <c r="G133" s="50"/>
      <c r="H133" s="43" t="s">
        <v>228</v>
      </c>
      <c r="I133" s="52" t="s">
        <v>90</v>
      </c>
      <c r="J133" s="52" t="s">
        <v>762</v>
      </c>
      <c r="K133" s="52" t="s">
        <v>282</v>
      </c>
      <c r="L133" s="41" t="s">
        <v>1062</v>
      </c>
      <c r="M133" s="41"/>
      <c r="N133" s="42" t="s">
        <v>763</v>
      </c>
      <c r="O133" s="52"/>
      <c r="P133" s="52" t="s">
        <v>764</v>
      </c>
      <c r="Q133" s="52"/>
      <c r="R133" s="38" t="s">
        <v>1471</v>
      </c>
    </row>
    <row r="134" spans="1:18" ht="99" x14ac:dyDescent="0.25">
      <c r="A134" s="26" t="s">
        <v>382</v>
      </c>
      <c r="B134" s="27" t="s">
        <v>330</v>
      </c>
      <c r="C134" s="28" t="s">
        <v>760</v>
      </c>
      <c r="D134" s="28" t="s">
        <v>934</v>
      </c>
      <c r="F134" s="49">
        <v>42452</v>
      </c>
      <c r="G134" s="49">
        <v>42598</v>
      </c>
      <c r="H134" s="34" t="s">
        <v>228</v>
      </c>
      <c r="I134" s="28" t="s">
        <v>89</v>
      </c>
      <c r="J134" s="28" t="s">
        <v>684</v>
      </c>
      <c r="K134" s="28" t="s">
        <v>254</v>
      </c>
      <c r="L134" s="31" t="s">
        <v>1061</v>
      </c>
      <c r="N134" s="32" t="s">
        <v>761</v>
      </c>
      <c r="P134" s="28" t="s">
        <v>686</v>
      </c>
      <c r="R134" s="2" t="s">
        <v>1472</v>
      </c>
    </row>
    <row r="135" spans="1:18" s="38" customFormat="1" ht="96.45" x14ac:dyDescent="0.25">
      <c r="A135" s="37" t="s">
        <v>384</v>
      </c>
      <c r="B135" s="38" t="s">
        <v>320</v>
      </c>
      <c r="C135" s="52" t="s">
        <v>43</v>
      </c>
      <c r="D135" s="52" t="s">
        <v>1063</v>
      </c>
      <c r="E135" s="50"/>
      <c r="F135" s="50">
        <v>39505</v>
      </c>
      <c r="G135" s="50" t="s">
        <v>1133</v>
      </c>
      <c r="H135" s="43" t="s">
        <v>228</v>
      </c>
      <c r="I135" s="52" t="s">
        <v>300</v>
      </c>
      <c r="J135" s="52" t="s">
        <v>765</v>
      </c>
      <c r="K135" s="52" t="s">
        <v>283</v>
      </c>
      <c r="L135" s="41" t="s">
        <v>1064</v>
      </c>
      <c r="M135" s="41"/>
      <c r="N135" s="42" t="s">
        <v>214</v>
      </c>
      <c r="O135" s="52" t="s">
        <v>766</v>
      </c>
      <c r="P135" s="52" t="s">
        <v>767</v>
      </c>
      <c r="Q135" s="52"/>
      <c r="R135" s="38" t="s">
        <v>1473</v>
      </c>
    </row>
    <row r="136" spans="1:18" ht="54" x14ac:dyDescent="0.25">
      <c r="C136" s="28" t="s">
        <v>768</v>
      </c>
      <c r="F136" s="49" t="s">
        <v>899</v>
      </c>
      <c r="G136" s="49"/>
      <c r="H136" s="30" t="s">
        <v>444</v>
      </c>
      <c r="I136" s="28" t="s">
        <v>88</v>
      </c>
      <c r="J136" s="28" t="s">
        <v>769</v>
      </c>
      <c r="K136" s="28" t="s">
        <v>284</v>
      </c>
      <c r="L136" s="31" t="s">
        <v>1065</v>
      </c>
      <c r="N136" s="32" t="s">
        <v>219</v>
      </c>
      <c r="P136" s="28" t="s">
        <v>770</v>
      </c>
      <c r="R136" s="2" t="s">
        <v>1474</v>
      </c>
    </row>
    <row r="137" spans="1:18" s="38" customFormat="1" ht="160.30000000000001" x14ac:dyDescent="0.25">
      <c r="A137" s="37" t="s">
        <v>385</v>
      </c>
      <c r="B137" s="38" t="s">
        <v>322</v>
      </c>
      <c r="C137" s="52" t="s">
        <v>965</v>
      </c>
      <c r="D137" s="52" t="s">
        <v>1208</v>
      </c>
      <c r="E137" s="50">
        <v>37062</v>
      </c>
      <c r="F137" s="50">
        <v>35760</v>
      </c>
      <c r="G137" s="50">
        <v>35948</v>
      </c>
      <c r="H137" s="43" t="s">
        <v>228</v>
      </c>
      <c r="I137" s="52" t="s">
        <v>60</v>
      </c>
      <c r="J137" s="52" t="s">
        <v>34</v>
      </c>
      <c r="K137" s="52" t="s">
        <v>270</v>
      </c>
      <c r="L137" s="41" t="s">
        <v>1066</v>
      </c>
      <c r="M137" s="41"/>
      <c r="N137" s="42" t="s">
        <v>771</v>
      </c>
      <c r="O137" s="52" t="s">
        <v>772</v>
      </c>
      <c r="P137" s="52" t="s">
        <v>50</v>
      </c>
      <c r="Q137" s="52" t="s">
        <v>21</v>
      </c>
      <c r="R137" s="38" t="s">
        <v>1475</v>
      </c>
    </row>
    <row r="138" spans="1:18" ht="127.3" x14ac:dyDescent="0.25">
      <c r="C138" s="28" t="s">
        <v>102</v>
      </c>
      <c r="D138" s="28" t="s">
        <v>935</v>
      </c>
      <c r="E138" s="49"/>
      <c r="F138" s="49">
        <v>39682</v>
      </c>
      <c r="G138" s="49"/>
      <c r="H138" s="34" t="s">
        <v>228</v>
      </c>
      <c r="I138" s="28" t="s">
        <v>104</v>
      </c>
      <c r="J138" s="28" t="s">
        <v>103</v>
      </c>
      <c r="K138" s="28" t="s">
        <v>254</v>
      </c>
      <c r="L138" s="31" t="s">
        <v>1067</v>
      </c>
      <c r="N138" s="32" t="s">
        <v>401</v>
      </c>
      <c r="P138" s="28" t="s">
        <v>115</v>
      </c>
      <c r="R138" s="2" t="s">
        <v>1476</v>
      </c>
    </row>
    <row r="139" spans="1:18" s="38" customFormat="1" ht="113.15" x14ac:dyDescent="0.25">
      <c r="A139" s="37"/>
      <c r="C139" s="52" t="s">
        <v>773</v>
      </c>
      <c r="D139" s="52"/>
      <c r="E139" s="50"/>
      <c r="F139" s="50" t="s">
        <v>462</v>
      </c>
      <c r="G139" s="50"/>
      <c r="H139" s="44" t="s">
        <v>463</v>
      </c>
      <c r="I139" s="52" t="s">
        <v>91</v>
      </c>
      <c r="J139" s="52" t="s">
        <v>774</v>
      </c>
      <c r="K139" s="52" t="s">
        <v>285</v>
      </c>
      <c r="L139" s="41" t="s">
        <v>1068</v>
      </c>
      <c r="M139" s="41"/>
      <c r="N139" s="42" t="s">
        <v>775</v>
      </c>
      <c r="O139" s="52"/>
      <c r="P139" s="52" t="s">
        <v>776</v>
      </c>
      <c r="Q139" s="52"/>
      <c r="R139" s="38" t="s">
        <v>1477</v>
      </c>
    </row>
    <row r="140" spans="1:18" ht="141.44999999999999" x14ac:dyDescent="0.25">
      <c r="C140" s="28" t="s">
        <v>777</v>
      </c>
      <c r="E140" s="49"/>
      <c r="F140" s="49" t="s">
        <v>455</v>
      </c>
      <c r="H140" s="35" t="s">
        <v>456</v>
      </c>
      <c r="I140" s="28" t="s">
        <v>778</v>
      </c>
      <c r="J140" s="28" t="s">
        <v>779</v>
      </c>
      <c r="K140" s="28"/>
      <c r="L140" s="31" t="s">
        <v>1069</v>
      </c>
      <c r="N140" s="32" t="s">
        <v>780</v>
      </c>
      <c r="R140" s="2" t="s">
        <v>1478</v>
      </c>
    </row>
    <row r="141" spans="1:18" s="38" customFormat="1" ht="198" x14ac:dyDescent="0.25">
      <c r="A141" s="37" t="s">
        <v>386</v>
      </c>
      <c r="B141" s="38" t="s">
        <v>324</v>
      </c>
      <c r="C141" s="52" t="s">
        <v>1070</v>
      </c>
      <c r="D141" s="52" t="s">
        <v>396</v>
      </c>
      <c r="E141" s="50"/>
      <c r="F141" s="50"/>
      <c r="G141" s="50"/>
      <c r="H141" s="44" t="s">
        <v>463</v>
      </c>
      <c r="I141" s="52" t="s">
        <v>781</v>
      </c>
      <c r="J141" s="52" t="s">
        <v>782</v>
      </c>
      <c r="K141" s="52" t="s">
        <v>254</v>
      </c>
      <c r="L141" s="41" t="s">
        <v>1071</v>
      </c>
      <c r="M141" s="41"/>
      <c r="N141" s="42" t="s">
        <v>783</v>
      </c>
      <c r="O141" s="52"/>
      <c r="P141" s="52" t="s">
        <v>784</v>
      </c>
      <c r="Q141" s="52"/>
      <c r="R141" s="38" t="s">
        <v>1479</v>
      </c>
    </row>
    <row r="142" spans="1:18" ht="99" x14ac:dyDescent="0.25">
      <c r="A142" s="26" t="s">
        <v>387</v>
      </c>
      <c r="B142" s="27" t="s">
        <v>320</v>
      </c>
      <c r="C142" s="28" t="s">
        <v>966</v>
      </c>
      <c r="D142" s="28" t="s">
        <v>967</v>
      </c>
      <c r="E142" s="49">
        <v>41999</v>
      </c>
      <c r="F142" s="49">
        <v>42025</v>
      </c>
      <c r="G142" s="49">
        <v>42019</v>
      </c>
      <c r="H142" s="34" t="s">
        <v>228</v>
      </c>
      <c r="I142" s="28" t="s">
        <v>785</v>
      </c>
      <c r="J142" s="28" t="s">
        <v>786</v>
      </c>
      <c r="K142" s="28" t="s">
        <v>253</v>
      </c>
      <c r="L142" s="31" t="s">
        <v>1072</v>
      </c>
      <c r="N142" s="32" t="s">
        <v>787</v>
      </c>
      <c r="O142" s="28" t="s">
        <v>788</v>
      </c>
      <c r="P142" s="28" t="s">
        <v>544</v>
      </c>
      <c r="R142" s="2" t="s">
        <v>1480</v>
      </c>
    </row>
    <row r="143" spans="1:18" s="38" customFormat="1" ht="109.75" x14ac:dyDescent="0.25">
      <c r="A143" s="37" t="s">
        <v>388</v>
      </c>
      <c r="B143" s="38" t="s">
        <v>320</v>
      </c>
      <c r="C143" s="52" t="s">
        <v>789</v>
      </c>
      <c r="D143" s="52"/>
      <c r="E143" s="50"/>
      <c r="F143" s="50" t="s">
        <v>455</v>
      </c>
      <c r="G143" s="50"/>
      <c r="H143" s="44" t="s">
        <v>456</v>
      </c>
      <c r="I143" s="52" t="s">
        <v>790</v>
      </c>
      <c r="J143" s="52" t="s">
        <v>791</v>
      </c>
      <c r="K143" s="52"/>
      <c r="L143" s="41" t="s">
        <v>1073</v>
      </c>
      <c r="M143" s="41"/>
      <c r="N143" s="42" t="s">
        <v>190</v>
      </c>
      <c r="O143" s="52"/>
      <c r="P143" s="52"/>
      <c r="Q143" s="52"/>
      <c r="R143" s="38" t="s">
        <v>1481</v>
      </c>
    </row>
    <row r="144" spans="1:18" ht="84.9" x14ac:dyDescent="0.25">
      <c r="C144" s="28" t="s">
        <v>792</v>
      </c>
      <c r="E144" s="49"/>
      <c r="F144" s="49" t="s">
        <v>936</v>
      </c>
      <c r="G144" s="49"/>
      <c r="H144" s="30" t="s">
        <v>444</v>
      </c>
      <c r="I144" s="28" t="s">
        <v>92</v>
      </c>
      <c r="J144" s="28" t="s">
        <v>793</v>
      </c>
      <c r="K144" s="28" t="s">
        <v>286</v>
      </c>
      <c r="L144" s="31" t="s">
        <v>1074</v>
      </c>
      <c r="N144" s="32" t="s">
        <v>191</v>
      </c>
      <c r="R144" s="2" t="s">
        <v>1482</v>
      </c>
    </row>
    <row r="145" spans="1:18" s="38" customFormat="1" ht="113.15" x14ac:dyDescent="0.25">
      <c r="A145" s="37" t="s">
        <v>388</v>
      </c>
      <c r="B145" s="38" t="s">
        <v>320</v>
      </c>
      <c r="C145" s="52" t="s">
        <v>47</v>
      </c>
      <c r="D145" s="52" t="s">
        <v>794</v>
      </c>
      <c r="E145" s="50"/>
      <c r="F145" s="50">
        <v>41752</v>
      </c>
      <c r="G145" s="50">
        <v>41781</v>
      </c>
      <c r="H145" s="43" t="s">
        <v>228</v>
      </c>
      <c r="I145" s="52" t="s">
        <v>795</v>
      </c>
      <c r="J145" s="52" t="s">
        <v>782</v>
      </c>
      <c r="K145" s="52" t="s">
        <v>254</v>
      </c>
      <c r="L145" s="41" t="s">
        <v>1075</v>
      </c>
      <c r="M145" s="41"/>
      <c r="N145" s="42" t="s">
        <v>796</v>
      </c>
      <c r="O145" s="52" t="s">
        <v>797</v>
      </c>
      <c r="P145" s="52" t="s">
        <v>784</v>
      </c>
      <c r="Q145" s="52"/>
      <c r="R145" s="38" t="s">
        <v>1483</v>
      </c>
    </row>
    <row r="146" spans="1:18" ht="84.9" x14ac:dyDescent="0.25">
      <c r="C146" s="28" t="s">
        <v>798</v>
      </c>
      <c r="E146" s="49"/>
      <c r="F146" s="49" t="s">
        <v>455</v>
      </c>
      <c r="G146" s="49"/>
      <c r="H146" s="35" t="s">
        <v>456</v>
      </c>
      <c r="I146" s="28" t="s">
        <v>162</v>
      </c>
      <c r="J146" s="28" t="s">
        <v>799</v>
      </c>
      <c r="K146" s="28"/>
      <c r="L146" s="31" t="s">
        <v>1076</v>
      </c>
      <c r="N146" s="32" t="s">
        <v>192</v>
      </c>
      <c r="R146" s="2" t="s">
        <v>1484</v>
      </c>
    </row>
    <row r="147" spans="1:18" s="38" customFormat="1" ht="54" x14ac:dyDescent="0.25">
      <c r="A147" s="37"/>
      <c r="C147" s="52" t="s">
        <v>800</v>
      </c>
      <c r="D147" s="52"/>
      <c r="E147" s="39"/>
      <c r="F147" s="50" t="s">
        <v>462</v>
      </c>
      <c r="G147" s="50"/>
      <c r="H147" s="44" t="s">
        <v>463</v>
      </c>
      <c r="I147" s="52" t="s">
        <v>93</v>
      </c>
      <c r="J147" s="52" t="s">
        <v>782</v>
      </c>
      <c r="K147" s="52" t="s">
        <v>254</v>
      </c>
      <c r="L147" s="41" t="s">
        <v>1077</v>
      </c>
      <c r="M147" s="41"/>
      <c r="N147" s="42" t="s">
        <v>193</v>
      </c>
      <c r="O147" s="52"/>
      <c r="P147" s="52" t="s">
        <v>784</v>
      </c>
      <c r="Q147" s="52"/>
      <c r="R147" s="38" t="s">
        <v>1485</v>
      </c>
    </row>
    <row r="148" spans="1:18" ht="54.9" x14ac:dyDescent="0.25">
      <c r="C148" s="28" t="s">
        <v>801</v>
      </c>
      <c r="F148" s="49" t="s">
        <v>462</v>
      </c>
      <c r="G148" s="49"/>
      <c r="H148" s="35" t="s">
        <v>463</v>
      </c>
      <c r="I148" s="28" t="s">
        <v>74</v>
      </c>
      <c r="J148" s="28" t="s">
        <v>75</v>
      </c>
      <c r="K148" s="28"/>
      <c r="L148" s="31" t="s">
        <v>1078</v>
      </c>
      <c r="N148" s="32" t="s">
        <v>194</v>
      </c>
      <c r="P148" s="28" t="s">
        <v>617</v>
      </c>
      <c r="R148" s="2" t="s">
        <v>1486</v>
      </c>
    </row>
    <row r="149" spans="1:18" s="38" customFormat="1" ht="70.75" x14ac:dyDescent="0.25">
      <c r="A149" s="37" t="s">
        <v>389</v>
      </c>
      <c r="B149" s="38" t="s">
        <v>331</v>
      </c>
      <c r="C149" s="52" t="s">
        <v>231</v>
      </c>
      <c r="D149" s="52" t="s">
        <v>937</v>
      </c>
      <c r="E149" s="50"/>
      <c r="F149" s="50"/>
      <c r="G149" s="50">
        <v>35475</v>
      </c>
      <c r="H149" s="43" t="s">
        <v>228</v>
      </c>
      <c r="I149" s="52" t="s">
        <v>94</v>
      </c>
      <c r="J149" s="52" t="s">
        <v>802</v>
      </c>
      <c r="K149" s="52"/>
      <c r="L149" s="41" t="s">
        <v>1079</v>
      </c>
      <c r="M149" s="41"/>
      <c r="N149" s="42" t="s">
        <v>220</v>
      </c>
      <c r="O149" s="52"/>
      <c r="P149" s="52"/>
      <c r="Q149" s="52"/>
      <c r="R149" s="38" t="s">
        <v>1487</v>
      </c>
    </row>
    <row r="150" spans="1:18" ht="70.75" x14ac:dyDescent="0.25">
      <c r="C150" s="28" t="s">
        <v>803</v>
      </c>
      <c r="F150" s="49" t="s">
        <v>936</v>
      </c>
      <c r="H150" s="30" t="s">
        <v>444</v>
      </c>
      <c r="I150" s="28" t="s">
        <v>95</v>
      </c>
      <c r="J150" s="28" t="s">
        <v>804</v>
      </c>
      <c r="K150" s="28" t="s">
        <v>257</v>
      </c>
      <c r="L150" s="31" t="s">
        <v>1080</v>
      </c>
      <c r="N150" s="32" t="s">
        <v>805</v>
      </c>
      <c r="R150" s="2" t="s">
        <v>1488</v>
      </c>
    </row>
    <row r="151" spans="1:18" s="38" customFormat="1" ht="99" x14ac:dyDescent="0.25">
      <c r="A151" s="37"/>
      <c r="C151" s="52" t="s">
        <v>806</v>
      </c>
      <c r="D151" s="52"/>
      <c r="E151" s="39"/>
      <c r="F151" s="39" t="s">
        <v>462</v>
      </c>
      <c r="G151" s="50"/>
      <c r="H151" s="44" t="s">
        <v>463</v>
      </c>
      <c r="I151" s="52" t="s">
        <v>163</v>
      </c>
      <c r="J151" s="52" t="s">
        <v>807</v>
      </c>
      <c r="K151" s="52" t="s">
        <v>287</v>
      </c>
      <c r="L151" s="41" t="s">
        <v>1081</v>
      </c>
      <c r="M151" s="41"/>
      <c r="N151" s="42" t="s">
        <v>808</v>
      </c>
      <c r="O151" s="52"/>
      <c r="P151" s="52" t="s">
        <v>809</v>
      </c>
      <c r="Q151" s="52"/>
      <c r="R151" s="38" t="s">
        <v>1489</v>
      </c>
    </row>
    <row r="152" spans="1:18" ht="83.15" x14ac:dyDescent="0.25">
      <c r="C152" s="28" t="s">
        <v>810</v>
      </c>
      <c r="F152" s="29" t="s">
        <v>455</v>
      </c>
      <c r="G152" s="49"/>
      <c r="H152" s="35" t="s">
        <v>456</v>
      </c>
      <c r="I152" s="28" t="s">
        <v>811</v>
      </c>
      <c r="J152" s="28" t="s">
        <v>812</v>
      </c>
      <c r="K152" s="28"/>
      <c r="L152" s="31" t="s">
        <v>1082</v>
      </c>
      <c r="N152" s="32" t="s">
        <v>813</v>
      </c>
      <c r="R152" s="2" t="s">
        <v>1490</v>
      </c>
    </row>
    <row r="153" spans="1:18" s="38" customFormat="1" ht="94.75" x14ac:dyDescent="0.25">
      <c r="A153" s="37"/>
      <c r="C153" s="52" t="s">
        <v>814</v>
      </c>
      <c r="D153" s="52"/>
      <c r="E153" s="39"/>
      <c r="F153" s="50" t="s">
        <v>462</v>
      </c>
      <c r="G153" s="50"/>
      <c r="H153" s="44" t="s">
        <v>463</v>
      </c>
      <c r="I153" s="52" t="s">
        <v>164</v>
      </c>
      <c r="J153" s="52" t="s">
        <v>815</v>
      </c>
      <c r="K153" s="52"/>
      <c r="L153" s="41" t="s">
        <v>1083</v>
      </c>
      <c r="M153" s="41"/>
      <c r="N153" s="42" t="s">
        <v>816</v>
      </c>
      <c r="O153" s="52"/>
      <c r="P153" s="52" t="s">
        <v>817</v>
      </c>
      <c r="Q153" s="52"/>
      <c r="R153" s="38" t="s">
        <v>1491</v>
      </c>
    </row>
    <row r="154" spans="1:18" ht="70.75" x14ac:dyDescent="0.25">
      <c r="C154" s="28" t="s">
        <v>166</v>
      </c>
      <c r="D154" s="28" t="s">
        <v>818</v>
      </c>
      <c r="E154" s="49"/>
      <c r="F154" s="49">
        <v>2013</v>
      </c>
      <c r="G154" s="49">
        <v>2014</v>
      </c>
      <c r="H154" s="34" t="s">
        <v>228</v>
      </c>
      <c r="I154" s="28" t="s">
        <v>167</v>
      </c>
      <c r="J154" s="28" t="s">
        <v>819</v>
      </c>
      <c r="K154" s="28"/>
      <c r="L154" s="31" t="s">
        <v>1195</v>
      </c>
      <c r="N154" s="32" t="s">
        <v>820</v>
      </c>
      <c r="R154" s="2" t="s">
        <v>1492</v>
      </c>
    </row>
    <row r="155" spans="1:18" s="38" customFormat="1" ht="113.15" x14ac:dyDescent="0.25">
      <c r="A155" s="37" t="s">
        <v>390</v>
      </c>
      <c r="B155" s="38" t="s">
        <v>320</v>
      </c>
      <c r="C155" s="52" t="s">
        <v>968</v>
      </c>
      <c r="D155" s="52" t="s">
        <v>969</v>
      </c>
      <c r="E155" s="50">
        <v>39554</v>
      </c>
      <c r="F155" s="50">
        <v>40186</v>
      </c>
      <c r="G155" s="50">
        <v>39829</v>
      </c>
      <c r="H155" s="43" t="s">
        <v>228</v>
      </c>
      <c r="I155" s="52" t="s">
        <v>304</v>
      </c>
      <c r="J155" s="52" t="s">
        <v>48</v>
      </c>
      <c r="K155" s="52" t="s">
        <v>288</v>
      </c>
      <c r="L155" s="41" t="s">
        <v>1084</v>
      </c>
      <c r="M155" s="41"/>
      <c r="N155" s="42" t="s">
        <v>215</v>
      </c>
      <c r="O155" s="52" t="s">
        <v>821</v>
      </c>
      <c r="P155" s="52" t="s">
        <v>822</v>
      </c>
      <c r="Q155" s="52"/>
      <c r="R155" s="38" t="s">
        <v>1493</v>
      </c>
    </row>
    <row r="156" spans="1:18" ht="84.9" x14ac:dyDescent="0.25">
      <c r="A156" s="26" t="s">
        <v>391</v>
      </c>
      <c r="B156" s="27" t="s">
        <v>327</v>
      </c>
      <c r="C156" s="28" t="s">
        <v>40</v>
      </c>
      <c r="D156" s="28" t="s">
        <v>938</v>
      </c>
      <c r="F156" s="49">
        <v>37799</v>
      </c>
      <c r="G156" s="49"/>
      <c r="H156" s="34" t="s">
        <v>228</v>
      </c>
      <c r="I156" s="28" t="s">
        <v>96</v>
      </c>
      <c r="J156" s="28" t="s">
        <v>34</v>
      </c>
      <c r="K156" s="28" t="s">
        <v>270</v>
      </c>
      <c r="L156" s="31" t="s">
        <v>1085</v>
      </c>
      <c r="N156" s="32" t="s">
        <v>823</v>
      </c>
      <c r="O156" s="28" t="s">
        <v>824</v>
      </c>
      <c r="P156" s="28" t="s">
        <v>50</v>
      </c>
      <c r="R156" s="2" t="s">
        <v>1494</v>
      </c>
    </row>
    <row r="157" spans="1:18" s="38" customFormat="1" ht="183.9" x14ac:dyDescent="0.25">
      <c r="A157" s="37"/>
      <c r="C157" s="52" t="s">
        <v>825</v>
      </c>
      <c r="D157" s="52"/>
      <c r="E157" s="39"/>
      <c r="F157" s="50" t="s">
        <v>462</v>
      </c>
      <c r="G157" s="50"/>
      <c r="H157" s="44" t="s">
        <v>463</v>
      </c>
      <c r="I157" s="52" t="s">
        <v>97</v>
      </c>
      <c r="J157" s="52" t="s">
        <v>654</v>
      </c>
      <c r="K157" s="52" t="s">
        <v>254</v>
      </c>
      <c r="L157" s="41" t="s">
        <v>1086</v>
      </c>
      <c r="M157" s="41"/>
      <c r="N157" s="42" t="s">
        <v>826</v>
      </c>
      <c r="O157" s="52"/>
      <c r="P157" s="52" t="s">
        <v>629</v>
      </c>
      <c r="Q157" s="52"/>
      <c r="R157" s="38" t="s">
        <v>1495</v>
      </c>
    </row>
    <row r="158" spans="1:18" ht="54" x14ac:dyDescent="0.25">
      <c r="A158" s="26" t="s">
        <v>392</v>
      </c>
      <c r="B158" s="27" t="s">
        <v>322</v>
      </c>
      <c r="C158" s="28" t="s">
        <v>972</v>
      </c>
      <c r="D158" s="28" t="s">
        <v>973</v>
      </c>
      <c r="E158" s="49">
        <v>36985</v>
      </c>
      <c r="F158" s="49">
        <v>36063</v>
      </c>
      <c r="G158" s="49">
        <v>36766</v>
      </c>
      <c r="H158" s="34" t="s">
        <v>228</v>
      </c>
      <c r="I158" s="28" t="s">
        <v>827</v>
      </c>
      <c r="J158" s="28" t="s">
        <v>37</v>
      </c>
      <c r="K158" s="28" t="s">
        <v>289</v>
      </c>
      <c r="L158" s="31" t="s">
        <v>1088</v>
      </c>
      <c r="N158" s="32" t="s">
        <v>216</v>
      </c>
      <c r="O158" s="28" t="s">
        <v>828</v>
      </c>
      <c r="P158" s="28" t="s">
        <v>46</v>
      </c>
      <c r="Q158" s="33" t="s">
        <v>22</v>
      </c>
      <c r="R158" s="2" t="s">
        <v>1496</v>
      </c>
    </row>
    <row r="159" spans="1:18" s="38" customFormat="1" ht="169.75" x14ac:dyDescent="0.25">
      <c r="A159" s="37" t="s">
        <v>393</v>
      </c>
      <c r="B159" s="38" t="s">
        <v>322</v>
      </c>
      <c r="C159" s="52" t="s">
        <v>970</v>
      </c>
      <c r="D159" s="52" t="s">
        <v>971</v>
      </c>
      <c r="E159" s="50">
        <v>41537</v>
      </c>
      <c r="F159" s="50">
        <v>41327</v>
      </c>
      <c r="G159" s="50">
        <v>41593</v>
      </c>
      <c r="H159" s="43" t="s">
        <v>228</v>
      </c>
      <c r="I159" s="52" t="s">
        <v>19</v>
      </c>
      <c r="J159" s="52" t="s">
        <v>37</v>
      </c>
      <c r="K159" s="52" t="s">
        <v>290</v>
      </c>
      <c r="L159" s="41" t="s">
        <v>1087</v>
      </c>
      <c r="M159" s="41"/>
      <c r="N159" s="42" t="s">
        <v>829</v>
      </c>
      <c r="O159" s="52" t="s">
        <v>830</v>
      </c>
      <c r="P159" s="52" t="s">
        <v>46</v>
      </c>
      <c r="Q159" s="52"/>
      <c r="R159" s="38" t="s">
        <v>1497</v>
      </c>
    </row>
    <row r="160" spans="1:18" ht="134.6" x14ac:dyDescent="0.25">
      <c r="C160" s="28" t="s">
        <v>831</v>
      </c>
      <c r="E160" s="49"/>
      <c r="F160" s="49" t="s">
        <v>462</v>
      </c>
      <c r="G160" s="49"/>
      <c r="H160" s="35" t="s">
        <v>463</v>
      </c>
      <c r="I160" s="28" t="s">
        <v>98</v>
      </c>
      <c r="J160" s="28" t="s">
        <v>641</v>
      </c>
      <c r="K160" s="28" t="s">
        <v>291</v>
      </c>
      <c r="L160" s="31" t="s">
        <v>1089</v>
      </c>
      <c r="N160" s="32" t="s">
        <v>832</v>
      </c>
      <c r="P160" s="28" t="s">
        <v>643</v>
      </c>
      <c r="R160" s="2" t="s">
        <v>1498</v>
      </c>
    </row>
    <row r="161" spans="1:18" s="38" customFormat="1" ht="42.45" x14ac:dyDescent="0.25">
      <c r="A161" s="37" t="s">
        <v>394</v>
      </c>
      <c r="B161" s="38" t="s">
        <v>320</v>
      </c>
      <c r="C161" s="52" t="s">
        <v>974</v>
      </c>
      <c r="D161" s="52" t="s">
        <v>975</v>
      </c>
      <c r="E161" s="50">
        <v>40564</v>
      </c>
      <c r="F161" s="50">
        <v>40081</v>
      </c>
      <c r="G161" s="50">
        <v>39829</v>
      </c>
      <c r="H161" s="43" t="s">
        <v>228</v>
      </c>
      <c r="I161" s="52" t="s">
        <v>245</v>
      </c>
      <c r="J161" s="52" t="s">
        <v>833</v>
      </c>
      <c r="K161" s="52" t="s">
        <v>254</v>
      </c>
      <c r="L161" s="41" t="s">
        <v>1090</v>
      </c>
      <c r="M161" s="41"/>
      <c r="N161" s="42" t="s">
        <v>217</v>
      </c>
      <c r="O161" s="52" t="s">
        <v>834</v>
      </c>
      <c r="P161" s="52" t="s">
        <v>835</v>
      </c>
      <c r="Q161" s="52" t="s">
        <v>23</v>
      </c>
      <c r="R161" s="38" t="s">
        <v>1499</v>
      </c>
    </row>
    <row r="162" spans="1:18" ht="183.9" x14ac:dyDescent="0.25">
      <c r="C162" s="28" t="s">
        <v>836</v>
      </c>
      <c r="E162" s="49"/>
      <c r="F162" s="49" t="s">
        <v>837</v>
      </c>
      <c r="G162" s="49"/>
      <c r="H162" s="35" t="s">
        <v>668</v>
      </c>
      <c r="I162" s="28" t="s">
        <v>838</v>
      </c>
      <c r="J162" s="28" t="s">
        <v>839</v>
      </c>
      <c r="K162" s="28" t="s">
        <v>840</v>
      </c>
      <c r="L162" s="31" t="s">
        <v>1091</v>
      </c>
      <c r="N162" s="32" t="s">
        <v>841</v>
      </c>
      <c r="R162" s="2" t="s">
        <v>1500</v>
      </c>
    </row>
    <row r="163" spans="1:18" s="38" customFormat="1" ht="70.75" x14ac:dyDescent="0.25">
      <c r="A163" s="37" t="s">
        <v>395</v>
      </c>
      <c r="B163" s="38" t="s">
        <v>320</v>
      </c>
      <c r="C163" s="52" t="s">
        <v>51</v>
      </c>
      <c r="D163" s="52" t="s">
        <v>939</v>
      </c>
      <c r="E163" s="50"/>
      <c r="F163" s="50">
        <v>41779</v>
      </c>
      <c r="G163" s="50">
        <v>41781</v>
      </c>
      <c r="H163" s="43" t="s">
        <v>228</v>
      </c>
      <c r="I163" s="52" t="s">
        <v>99</v>
      </c>
      <c r="J163" s="52" t="s">
        <v>842</v>
      </c>
      <c r="K163" s="52" t="s">
        <v>292</v>
      </c>
      <c r="L163" s="41" t="s">
        <v>1092</v>
      </c>
      <c r="M163" s="41"/>
      <c r="N163" s="42" t="s">
        <v>843</v>
      </c>
      <c r="O163" s="52" t="s">
        <v>844</v>
      </c>
      <c r="P163" s="52" t="s">
        <v>24</v>
      </c>
      <c r="Q163" s="52"/>
      <c r="R163" s="38" t="s">
        <v>1501</v>
      </c>
    </row>
    <row r="164" spans="1:18" ht="54.9" x14ac:dyDescent="0.25">
      <c r="C164" s="28" t="s">
        <v>845</v>
      </c>
      <c r="E164" s="49"/>
      <c r="F164" s="49" t="s">
        <v>455</v>
      </c>
      <c r="G164" s="49"/>
      <c r="H164" s="35" t="s">
        <v>456</v>
      </c>
      <c r="I164" s="28" t="s">
        <v>96</v>
      </c>
      <c r="J164" s="28" t="s">
        <v>34</v>
      </c>
      <c r="K164" s="28" t="s">
        <v>270</v>
      </c>
      <c r="L164" s="31" t="s">
        <v>1093</v>
      </c>
      <c r="N164" s="32" t="s">
        <v>195</v>
      </c>
      <c r="P164" s="28" t="s">
        <v>50</v>
      </c>
      <c r="R164" s="2" t="s">
        <v>1502</v>
      </c>
    </row>
    <row r="165" spans="1:18" s="38" customFormat="1" ht="56.6" x14ac:dyDescent="0.25">
      <c r="A165" s="37" t="s">
        <v>1217</v>
      </c>
      <c r="B165" s="38" t="s">
        <v>324</v>
      </c>
      <c r="C165" s="52" t="s">
        <v>846</v>
      </c>
      <c r="D165" s="52" t="s">
        <v>940</v>
      </c>
      <c r="E165" s="50"/>
      <c r="F165" s="50"/>
      <c r="G165" s="50" t="s">
        <v>1134</v>
      </c>
      <c r="H165" s="40" t="s">
        <v>495</v>
      </c>
      <c r="I165" s="52" t="s">
        <v>31</v>
      </c>
      <c r="J165" s="52" t="s">
        <v>165</v>
      </c>
      <c r="K165" s="52"/>
      <c r="L165" s="41" t="s">
        <v>1094</v>
      </c>
      <c r="M165" s="41"/>
      <c r="N165" s="42" t="s">
        <v>243</v>
      </c>
      <c r="O165" s="52"/>
      <c r="P165" s="52"/>
      <c r="Q165" s="52"/>
      <c r="R165" s="38" t="s">
        <v>1503</v>
      </c>
    </row>
    <row r="166" spans="1:18" ht="82.3" x14ac:dyDescent="0.25">
      <c r="C166" s="28" t="s">
        <v>847</v>
      </c>
      <c r="E166" s="49"/>
      <c r="F166" s="49" t="s">
        <v>462</v>
      </c>
      <c r="G166" s="49"/>
      <c r="H166" s="35" t="s">
        <v>463</v>
      </c>
      <c r="I166" s="28" t="s">
        <v>100</v>
      </c>
      <c r="J166" s="28" t="s">
        <v>848</v>
      </c>
      <c r="K166" s="28"/>
      <c r="L166" s="31" t="s">
        <v>1095</v>
      </c>
      <c r="N166" s="32" t="s">
        <v>196</v>
      </c>
      <c r="P166" s="28" t="s">
        <v>849</v>
      </c>
      <c r="R166" s="2" t="s">
        <v>1504</v>
      </c>
    </row>
    <row r="167" spans="1:18" s="38" customFormat="1" ht="54.9" x14ac:dyDescent="0.25">
      <c r="A167" s="37"/>
      <c r="C167" s="52"/>
      <c r="D167" s="52" t="s">
        <v>636</v>
      </c>
      <c r="E167" s="39"/>
      <c r="F167" s="50" t="s">
        <v>455</v>
      </c>
      <c r="G167" s="50"/>
      <c r="H167" s="44" t="s">
        <v>456</v>
      </c>
      <c r="I167" s="52" t="s">
        <v>637</v>
      </c>
      <c r="J167" s="52" t="s">
        <v>36</v>
      </c>
      <c r="K167" s="52"/>
      <c r="L167" s="41" t="s">
        <v>1027</v>
      </c>
      <c r="M167" s="41"/>
      <c r="N167" s="42" t="s">
        <v>240</v>
      </c>
      <c r="O167" s="52"/>
      <c r="P167" s="52"/>
      <c r="Q167" s="52"/>
      <c r="R167" s="38" t="s">
        <v>1505</v>
      </c>
    </row>
    <row r="168" spans="1:18" ht="84.9" x14ac:dyDescent="0.25">
      <c r="D168" s="28" t="s">
        <v>640</v>
      </c>
      <c r="F168" s="49" t="s">
        <v>455</v>
      </c>
      <c r="G168" s="49"/>
      <c r="H168" s="35" t="s">
        <v>456</v>
      </c>
      <c r="I168" s="28" t="s">
        <v>149</v>
      </c>
      <c r="J168" s="28" t="s">
        <v>148</v>
      </c>
      <c r="K168" s="28"/>
      <c r="L168" s="31" t="s">
        <v>438</v>
      </c>
      <c r="N168" s="32" t="s">
        <v>181</v>
      </c>
      <c r="R168" s="2" t="s">
        <v>1506</v>
      </c>
    </row>
    <row r="169" spans="1:18" s="38" customFormat="1" ht="99" x14ac:dyDescent="0.25">
      <c r="A169" s="37"/>
      <c r="C169" s="52"/>
      <c r="D169" s="52" t="s">
        <v>667</v>
      </c>
      <c r="E169" s="50"/>
      <c r="F169" s="50" t="s">
        <v>454</v>
      </c>
      <c r="G169" s="50"/>
      <c r="H169" s="44" t="s">
        <v>668</v>
      </c>
      <c r="I169" s="52" t="s">
        <v>669</v>
      </c>
      <c r="J169" s="52" t="s">
        <v>168</v>
      </c>
      <c r="K169" s="52"/>
      <c r="L169" s="41" t="s">
        <v>1031</v>
      </c>
      <c r="M169" s="41"/>
      <c r="N169" s="42" t="s">
        <v>670</v>
      </c>
      <c r="O169" s="52"/>
      <c r="P169" s="52"/>
      <c r="Q169" s="52"/>
      <c r="R169" s="38" t="s">
        <v>1507</v>
      </c>
    </row>
    <row r="170" spans="1:18" ht="54.9" x14ac:dyDescent="0.25">
      <c r="D170" s="28" t="s">
        <v>671</v>
      </c>
      <c r="F170" s="49" t="s">
        <v>454</v>
      </c>
      <c r="H170" s="35" t="s">
        <v>668</v>
      </c>
      <c r="I170" s="28" t="s">
        <v>74</v>
      </c>
      <c r="J170" s="28" t="s">
        <v>75</v>
      </c>
      <c r="K170" s="28"/>
      <c r="L170" s="31" t="s">
        <v>1032</v>
      </c>
      <c r="N170" s="32" t="s">
        <v>242</v>
      </c>
      <c r="R170" s="2" t="s">
        <v>1508</v>
      </c>
    </row>
    <row r="171" spans="1:18" s="38" customFormat="1" ht="56.6" x14ac:dyDescent="0.25">
      <c r="A171" s="37"/>
      <c r="C171" s="52"/>
      <c r="D171" s="52" t="s">
        <v>672</v>
      </c>
      <c r="E171" s="50"/>
      <c r="F171" s="50" t="s">
        <v>462</v>
      </c>
      <c r="G171" s="50"/>
      <c r="H171" s="44" t="s">
        <v>463</v>
      </c>
      <c r="I171" s="52" t="s">
        <v>153</v>
      </c>
      <c r="J171" s="52" t="s">
        <v>673</v>
      </c>
      <c r="K171" s="52"/>
      <c r="L171" s="41" t="s">
        <v>439</v>
      </c>
      <c r="M171" s="41"/>
      <c r="N171" s="42" t="s">
        <v>184</v>
      </c>
      <c r="O171" s="52"/>
      <c r="P171" s="52"/>
      <c r="Q171" s="52"/>
      <c r="R171" s="38" t="s">
        <v>1509</v>
      </c>
    </row>
    <row r="172" spans="1:18" ht="54.9" x14ac:dyDescent="0.25">
      <c r="D172" s="28" t="s">
        <v>679</v>
      </c>
      <c r="F172" s="29" t="s">
        <v>462</v>
      </c>
      <c r="H172" s="35" t="s">
        <v>463</v>
      </c>
      <c r="I172" s="28" t="s">
        <v>155</v>
      </c>
      <c r="J172" s="28" t="s">
        <v>680</v>
      </c>
      <c r="K172" s="28"/>
      <c r="L172" s="31" t="s">
        <v>1034</v>
      </c>
      <c r="N172" s="32" t="s">
        <v>681</v>
      </c>
      <c r="R172" s="2" t="s">
        <v>1510</v>
      </c>
    </row>
    <row r="173" spans="1:18" s="38" customFormat="1" ht="84.9" x14ac:dyDescent="0.25">
      <c r="A173" s="37"/>
      <c r="C173" s="52"/>
      <c r="D173" s="52" t="s">
        <v>182</v>
      </c>
      <c r="E173" s="39"/>
      <c r="F173" s="50" t="s">
        <v>462</v>
      </c>
      <c r="G173" s="50"/>
      <c r="H173" s="44" t="s">
        <v>463</v>
      </c>
      <c r="I173" s="52" t="s">
        <v>682</v>
      </c>
      <c r="J173" s="52" t="s">
        <v>128</v>
      </c>
      <c r="K173" s="52"/>
      <c r="L173" s="41" t="s">
        <v>1035</v>
      </c>
      <c r="M173" s="41"/>
      <c r="N173" s="42" t="s">
        <v>683</v>
      </c>
      <c r="O173" s="52"/>
      <c r="P173" s="52"/>
      <c r="Q173" s="52"/>
      <c r="R173" s="38" t="s">
        <v>1511</v>
      </c>
    </row>
    <row r="174" spans="1:18" x14ac:dyDescent="0.25">
      <c r="H174" s="35"/>
      <c r="K174" s="28"/>
    </row>
    <row r="175" spans="1:18" s="38" customFormat="1" x14ac:dyDescent="0.25">
      <c r="A175" s="37"/>
      <c r="C175" s="52"/>
      <c r="D175" s="52"/>
      <c r="E175" s="39"/>
      <c r="F175" s="39"/>
      <c r="G175" s="39"/>
      <c r="H175" s="44"/>
      <c r="I175" s="52"/>
      <c r="J175" s="52"/>
      <c r="K175" s="52"/>
      <c r="L175" s="41"/>
      <c r="M175" s="41"/>
      <c r="N175" s="42"/>
      <c r="O175" s="52"/>
      <c r="P175" s="52"/>
      <c r="Q175" s="52"/>
    </row>
    <row r="176" spans="1:18" x14ac:dyDescent="0.25">
      <c r="H176" s="35"/>
      <c r="K176" s="28"/>
    </row>
    <row r="177" spans="1:17" s="38" customFormat="1" x14ac:dyDescent="0.25">
      <c r="A177" s="37"/>
      <c r="C177" s="52"/>
      <c r="D177" s="52"/>
      <c r="E177" s="39"/>
      <c r="F177" s="39"/>
      <c r="G177" s="39"/>
      <c r="H177" s="44"/>
      <c r="I177" s="52"/>
      <c r="J177" s="52"/>
      <c r="K177" s="52"/>
      <c r="L177" s="41"/>
      <c r="M177" s="41"/>
      <c r="N177" s="42"/>
      <c r="O177" s="52"/>
      <c r="P177" s="52"/>
      <c r="Q177" s="52"/>
    </row>
    <row r="178" spans="1:17" x14ac:dyDescent="0.25">
      <c r="H178" s="35"/>
      <c r="K178" s="28"/>
    </row>
    <row r="179" spans="1:17" s="38" customFormat="1" x14ac:dyDescent="0.25">
      <c r="A179" s="37"/>
      <c r="C179" s="52"/>
      <c r="D179" s="52"/>
      <c r="E179" s="39"/>
      <c r="F179" s="39"/>
      <c r="G179" s="39"/>
      <c r="H179" s="44"/>
      <c r="I179" s="52"/>
      <c r="J179" s="52"/>
      <c r="K179" s="52"/>
      <c r="L179" s="41"/>
      <c r="M179" s="41"/>
      <c r="N179" s="42"/>
      <c r="O179" s="52"/>
      <c r="P179" s="52"/>
      <c r="Q179" s="52"/>
    </row>
    <row r="180" spans="1:17" x14ac:dyDescent="0.25">
      <c r="H180" s="35"/>
      <c r="K180" s="28"/>
    </row>
    <row r="181" spans="1:17" s="38" customFormat="1" x14ac:dyDescent="0.25">
      <c r="A181" s="37"/>
      <c r="C181" s="52"/>
      <c r="D181" s="52"/>
      <c r="E181" s="39"/>
      <c r="F181" s="39"/>
      <c r="G181" s="39"/>
      <c r="H181" s="44"/>
      <c r="I181" s="52"/>
      <c r="J181" s="52"/>
      <c r="K181" s="52"/>
      <c r="L181" s="41"/>
      <c r="M181" s="41"/>
      <c r="N181" s="42"/>
      <c r="O181" s="52"/>
      <c r="P181" s="52"/>
      <c r="Q181" s="52"/>
    </row>
    <row r="182" spans="1:17" x14ac:dyDescent="0.25">
      <c r="H182" s="35"/>
      <c r="K182" s="28"/>
    </row>
    <row r="183" spans="1:17" s="38" customFormat="1" x14ac:dyDescent="0.25">
      <c r="A183" s="37"/>
      <c r="C183" s="52"/>
      <c r="D183" s="52"/>
      <c r="E183" s="39"/>
      <c r="F183" s="39"/>
      <c r="G183" s="39"/>
      <c r="H183" s="44"/>
      <c r="I183" s="52"/>
      <c r="J183" s="52"/>
      <c r="K183" s="52"/>
      <c r="L183" s="41"/>
      <c r="M183" s="41"/>
      <c r="N183" s="42"/>
      <c r="O183" s="52"/>
      <c r="P183" s="52"/>
      <c r="Q183" s="52"/>
    </row>
    <row r="184" spans="1:17" x14ac:dyDescent="0.25">
      <c r="H184" s="35"/>
      <c r="K184" s="28"/>
    </row>
    <row r="185" spans="1:17" s="38" customFormat="1" x14ac:dyDescent="0.25">
      <c r="A185" s="37"/>
      <c r="C185" s="52"/>
      <c r="D185" s="52"/>
      <c r="E185" s="39"/>
      <c r="F185" s="39"/>
      <c r="G185" s="39"/>
      <c r="H185" s="44"/>
      <c r="I185" s="52"/>
      <c r="J185" s="52"/>
      <c r="K185" s="52"/>
      <c r="L185" s="41"/>
      <c r="M185" s="41"/>
      <c r="N185" s="42"/>
      <c r="O185" s="52"/>
      <c r="P185" s="52"/>
      <c r="Q185" s="52"/>
    </row>
    <row r="186" spans="1:17" x14ac:dyDescent="0.25">
      <c r="H186" s="35"/>
      <c r="K186" s="28"/>
    </row>
    <row r="187" spans="1:17" s="38" customFormat="1" x14ac:dyDescent="0.25">
      <c r="A187" s="37"/>
      <c r="C187" s="52"/>
      <c r="D187" s="52"/>
      <c r="E187" s="39"/>
      <c r="F187" s="39"/>
      <c r="G187" s="39"/>
      <c r="H187" s="44"/>
      <c r="I187" s="52"/>
      <c r="J187" s="52"/>
      <c r="K187" s="52"/>
      <c r="L187" s="41"/>
      <c r="M187" s="41"/>
      <c r="N187" s="42"/>
      <c r="O187" s="52"/>
      <c r="P187" s="52"/>
      <c r="Q187" s="52"/>
    </row>
    <row r="188" spans="1:17" x14ac:dyDescent="0.25">
      <c r="H188" s="35"/>
      <c r="K188" s="28"/>
    </row>
    <row r="189" spans="1:17" s="38" customFormat="1" x14ac:dyDescent="0.25">
      <c r="A189" s="37"/>
      <c r="C189" s="52"/>
      <c r="D189" s="52"/>
      <c r="E189" s="39"/>
      <c r="F189" s="39"/>
      <c r="G189" s="39"/>
      <c r="H189" s="44"/>
      <c r="I189" s="52"/>
      <c r="J189" s="52"/>
      <c r="K189" s="52"/>
      <c r="L189" s="41"/>
      <c r="M189" s="41"/>
      <c r="N189" s="42"/>
      <c r="O189" s="52"/>
      <c r="P189" s="52"/>
      <c r="Q189" s="52"/>
    </row>
    <row r="190" spans="1:17" x14ac:dyDescent="0.25">
      <c r="H190" s="35"/>
      <c r="K190" s="28"/>
    </row>
    <row r="191" spans="1:17" s="38" customFormat="1" x14ac:dyDescent="0.25">
      <c r="A191" s="37"/>
      <c r="C191" s="52"/>
      <c r="D191" s="52"/>
      <c r="E191" s="39"/>
      <c r="F191" s="39"/>
      <c r="G191" s="39"/>
      <c r="H191" s="44"/>
      <c r="I191" s="52"/>
      <c r="J191" s="52"/>
      <c r="K191" s="52"/>
      <c r="L191" s="41"/>
      <c r="M191" s="41"/>
      <c r="N191" s="42"/>
      <c r="O191" s="52"/>
      <c r="P191" s="52"/>
      <c r="Q191" s="52"/>
    </row>
    <row r="192" spans="1:17" x14ac:dyDescent="0.25">
      <c r="H192" s="35"/>
      <c r="K192" s="28"/>
    </row>
    <row r="193" spans="1:17" s="38" customFormat="1" x14ac:dyDescent="0.25">
      <c r="A193" s="37"/>
      <c r="C193" s="52"/>
      <c r="D193" s="52"/>
      <c r="E193" s="39"/>
      <c r="F193" s="39"/>
      <c r="G193" s="39"/>
      <c r="H193" s="44"/>
      <c r="I193" s="52"/>
      <c r="J193" s="52"/>
      <c r="K193" s="52"/>
      <c r="L193" s="41"/>
      <c r="M193" s="41"/>
      <c r="N193" s="42"/>
      <c r="O193" s="52"/>
      <c r="P193" s="52"/>
      <c r="Q193" s="52"/>
    </row>
    <row r="194" spans="1:17" x14ac:dyDescent="0.25">
      <c r="H194" s="35"/>
      <c r="K194" s="28"/>
    </row>
    <row r="195" spans="1:17" s="38" customFormat="1" x14ac:dyDescent="0.25">
      <c r="A195" s="37"/>
      <c r="C195" s="52"/>
      <c r="D195" s="52"/>
      <c r="E195" s="39"/>
      <c r="F195" s="39"/>
      <c r="G195" s="39"/>
      <c r="H195" s="44"/>
      <c r="I195" s="52"/>
      <c r="J195" s="52"/>
      <c r="K195" s="52"/>
      <c r="L195" s="41"/>
      <c r="M195" s="41"/>
      <c r="N195" s="42"/>
      <c r="O195" s="52"/>
      <c r="P195" s="52"/>
      <c r="Q195" s="52"/>
    </row>
    <row r="196" spans="1:17" x14ac:dyDescent="0.25">
      <c r="H196" s="35"/>
      <c r="K196" s="28"/>
    </row>
    <row r="197" spans="1:17" s="38" customFormat="1" x14ac:dyDescent="0.25">
      <c r="A197" s="37"/>
      <c r="C197" s="52"/>
      <c r="D197" s="52"/>
      <c r="E197" s="39"/>
      <c r="F197" s="39"/>
      <c r="G197" s="39"/>
      <c r="H197" s="44"/>
      <c r="I197" s="52"/>
      <c r="J197" s="52"/>
      <c r="K197" s="52"/>
      <c r="L197" s="41"/>
      <c r="M197" s="41"/>
      <c r="N197" s="42"/>
      <c r="O197" s="52"/>
      <c r="P197" s="52"/>
      <c r="Q197" s="52"/>
    </row>
    <row r="198" spans="1:17" x14ac:dyDescent="0.25">
      <c r="H198" s="35"/>
      <c r="K198" s="28"/>
    </row>
    <row r="199" spans="1:17" s="38" customFormat="1" x14ac:dyDescent="0.25">
      <c r="A199" s="37"/>
      <c r="C199" s="52"/>
      <c r="D199" s="52"/>
      <c r="E199" s="39"/>
      <c r="F199" s="39"/>
      <c r="G199" s="39"/>
      <c r="H199" s="44"/>
      <c r="I199" s="52"/>
      <c r="J199" s="52"/>
      <c r="K199" s="52"/>
      <c r="L199" s="41"/>
      <c r="M199" s="41"/>
      <c r="N199" s="42"/>
      <c r="O199" s="52"/>
      <c r="P199" s="52"/>
      <c r="Q199" s="52"/>
    </row>
    <row r="200" spans="1:17" x14ac:dyDescent="0.25">
      <c r="H200" s="35"/>
      <c r="K200" s="28"/>
    </row>
    <row r="201" spans="1:17" s="38" customFormat="1" x14ac:dyDescent="0.25">
      <c r="A201" s="37"/>
      <c r="C201" s="52"/>
      <c r="D201" s="52"/>
      <c r="E201" s="39"/>
      <c r="F201" s="39"/>
      <c r="G201" s="39"/>
      <c r="H201" s="44"/>
      <c r="I201" s="52"/>
      <c r="J201" s="52"/>
      <c r="K201" s="52"/>
      <c r="L201" s="41"/>
      <c r="M201" s="41"/>
      <c r="N201" s="42"/>
      <c r="O201" s="52"/>
      <c r="P201" s="52"/>
      <c r="Q201" s="52"/>
    </row>
    <row r="202" spans="1:17" x14ac:dyDescent="0.25">
      <c r="H202" s="35"/>
      <c r="K202" s="28"/>
    </row>
  </sheetData>
  <mergeCells count="11">
    <mergeCell ref="J1:J2"/>
    <mergeCell ref="A1:B2"/>
    <mergeCell ref="C1:C2"/>
    <mergeCell ref="D1:D2"/>
    <mergeCell ref="E1:H1"/>
    <mergeCell ref="I1:I2"/>
    <mergeCell ref="K1:K2"/>
    <mergeCell ref="L1:L2"/>
    <mergeCell ref="M1:M2"/>
    <mergeCell ref="N1:N2"/>
    <mergeCell ref="O1:Q1"/>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S1:BB96"/>
  <sheetViews>
    <sheetView showGridLines="0" topLeftCell="W1" zoomScale="90" zoomScaleNormal="90" workbookViewId="0">
      <selection activeCell="AA35" sqref="AA35"/>
    </sheetView>
  </sheetViews>
  <sheetFormatPr defaultColWidth="8.84375" defaultRowHeight="11.7" customHeight="1" x14ac:dyDescent="0.25"/>
  <cols>
    <col min="1" max="1" width="9.23046875" style="1" customWidth="1"/>
    <col min="2" max="18" width="8.84375" style="1"/>
    <col min="19" max="19" width="5.4609375" style="6" customWidth="1"/>
    <col min="20" max="20" width="8.69140625" style="60" bestFit="1" customWidth="1"/>
    <col min="21" max="21" width="18.53515625" style="1" bestFit="1" customWidth="1"/>
    <col min="22" max="22" width="29.3046875" style="1" bestFit="1" customWidth="1"/>
    <col min="23" max="23" width="8.84375" style="1"/>
    <col min="24" max="24" width="14" style="1" bestFit="1" customWidth="1"/>
    <col min="25" max="25" width="8.84375" style="1"/>
    <col min="27" max="27" width="37.23046875" style="1" bestFit="1" customWidth="1"/>
    <col min="28" max="29" width="8.84375" style="1"/>
    <col min="30" max="30" width="2.84375" style="6" bestFit="1" customWidth="1"/>
    <col min="31" max="31" width="2.23046875" style="1" customWidth="1"/>
    <col min="32" max="32" width="27.765625" style="1" customWidth="1"/>
    <col min="33" max="53" width="2.84375" style="1" customWidth="1"/>
    <col min="54" max="54" width="5.07421875" style="1" bestFit="1" customWidth="1"/>
    <col min="55" max="16384" width="8.84375" style="1"/>
  </cols>
  <sheetData>
    <row r="1" spans="19:54" ht="11.7" customHeight="1" thickBot="1" x14ac:dyDescent="0.3"/>
    <row r="2" spans="19:54" ht="11.7" customHeight="1" x14ac:dyDescent="0.25">
      <c r="S2" s="97" t="s">
        <v>1340</v>
      </c>
      <c r="T2" s="98"/>
      <c r="U2" s="98"/>
      <c r="V2" s="99"/>
      <c r="X2" s="100" t="s">
        <v>405</v>
      </c>
      <c r="Y2" s="102" t="s">
        <v>406</v>
      </c>
      <c r="AA2" s="100" t="s">
        <v>407</v>
      </c>
      <c r="AB2" s="102" t="s">
        <v>406</v>
      </c>
      <c r="AD2" s="81" t="s">
        <v>408</v>
      </c>
      <c r="AE2" s="82"/>
      <c r="AF2" s="83"/>
      <c r="AG2" s="96" t="s">
        <v>409</v>
      </c>
      <c r="AH2" s="96" t="s">
        <v>410</v>
      </c>
      <c r="AI2" s="93" t="s">
        <v>411</v>
      </c>
      <c r="AJ2" s="96" t="s">
        <v>412</v>
      </c>
      <c r="AK2" s="96" t="s">
        <v>413</v>
      </c>
      <c r="AL2" s="96" t="s">
        <v>414</v>
      </c>
      <c r="AM2" s="96" t="s">
        <v>415</v>
      </c>
      <c r="AN2" s="96" t="s">
        <v>416</v>
      </c>
      <c r="AO2" s="96" t="s">
        <v>417</v>
      </c>
      <c r="AP2" s="96" t="s">
        <v>418</v>
      </c>
      <c r="AQ2" s="96" t="s">
        <v>419</v>
      </c>
      <c r="AR2" s="96" t="s">
        <v>420</v>
      </c>
      <c r="AS2" s="96" t="s">
        <v>421</v>
      </c>
      <c r="AT2" s="96" t="s">
        <v>422</v>
      </c>
      <c r="AU2" s="96" t="s">
        <v>423</v>
      </c>
      <c r="AV2" s="96" t="s">
        <v>424</v>
      </c>
      <c r="AW2" s="96" t="s">
        <v>425</v>
      </c>
      <c r="AX2" s="96" t="s">
        <v>426</v>
      </c>
      <c r="AY2" s="96" t="s">
        <v>427</v>
      </c>
      <c r="AZ2" s="96" t="s">
        <v>428</v>
      </c>
      <c r="BA2" s="110" t="s">
        <v>429</v>
      </c>
      <c r="BB2" s="107" t="s">
        <v>430</v>
      </c>
    </row>
    <row r="3" spans="19:54" ht="11.7" customHeight="1" thickBot="1" x14ac:dyDescent="0.3">
      <c r="S3" s="72" t="s">
        <v>1336</v>
      </c>
      <c r="T3" s="63" t="s">
        <v>1337</v>
      </c>
      <c r="U3" s="63" t="s">
        <v>1338</v>
      </c>
      <c r="V3" s="64" t="s">
        <v>1339</v>
      </c>
      <c r="X3" s="101"/>
      <c r="Y3" s="103"/>
      <c r="AA3" s="101"/>
      <c r="AB3" s="103"/>
      <c r="AD3" s="84"/>
      <c r="AE3" s="85"/>
      <c r="AF3" s="86"/>
      <c r="AG3" s="94"/>
      <c r="AH3" s="94"/>
      <c r="AI3" s="94"/>
      <c r="AJ3" s="94"/>
      <c r="AK3" s="94"/>
      <c r="AL3" s="94"/>
      <c r="AM3" s="94"/>
      <c r="AN3" s="94"/>
      <c r="AO3" s="94"/>
      <c r="AP3" s="94"/>
      <c r="AQ3" s="94"/>
      <c r="AR3" s="94"/>
      <c r="AS3" s="94"/>
      <c r="AT3" s="94"/>
      <c r="AU3" s="94"/>
      <c r="AV3" s="94"/>
      <c r="AW3" s="94"/>
      <c r="AX3" s="94"/>
      <c r="AY3" s="94"/>
      <c r="AZ3" s="94"/>
      <c r="BA3" s="111"/>
      <c r="BB3" s="108"/>
    </row>
    <row r="4" spans="19:54" ht="11.7" customHeight="1" thickTop="1" x14ac:dyDescent="0.25">
      <c r="S4" s="62" t="s">
        <v>321</v>
      </c>
      <c r="T4" s="65" t="s">
        <v>334</v>
      </c>
      <c r="U4" s="66" t="s">
        <v>26</v>
      </c>
      <c r="V4" s="20" t="s">
        <v>851</v>
      </c>
      <c r="X4" s="4" t="s">
        <v>5</v>
      </c>
      <c r="Y4" s="5">
        <f>COUNTIF(AntibodyDrugList!J$3:J$176,"*TNFα*")</f>
        <v>13</v>
      </c>
      <c r="AA4" s="7" t="s">
        <v>409</v>
      </c>
      <c r="AB4" s="5">
        <f>COUNTIF(AntibodyDrugList!K$3:K$176,"*Cytokine-cytokine receptor interaction*")</f>
        <v>45</v>
      </c>
      <c r="AD4" s="84"/>
      <c r="AE4" s="85"/>
      <c r="AF4" s="86"/>
      <c r="AG4" s="94"/>
      <c r="AH4" s="94"/>
      <c r="AI4" s="94"/>
      <c r="AJ4" s="94"/>
      <c r="AK4" s="94"/>
      <c r="AL4" s="94"/>
      <c r="AM4" s="94"/>
      <c r="AN4" s="94"/>
      <c r="AO4" s="94"/>
      <c r="AP4" s="94"/>
      <c r="AQ4" s="94"/>
      <c r="AR4" s="94"/>
      <c r="AS4" s="94"/>
      <c r="AT4" s="94"/>
      <c r="AU4" s="94"/>
      <c r="AV4" s="94"/>
      <c r="AW4" s="94"/>
      <c r="AX4" s="94"/>
      <c r="AY4" s="94"/>
      <c r="AZ4" s="94"/>
      <c r="BA4" s="111"/>
      <c r="BB4" s="108"/>
    </row>
    <row r="5" spans="19:54" ht="11.7" customHeight="1" x14ac:dyDescent="0.25">
      <c r="S5" s="105" t="s">
        <v>326</v>
      </c>
      <c r="T5" s="61" t="s">
        <v>362</v>
      </c>
      <c r="U5" s="58" t="s">
        <v>1249</v>
      </c>
      <c r="V5" s="59" t="s">
        <v>1250</v>
      </c>
      <c r="X5" s="4" t="s">
        <v>34</v>
      </c>
      <c r="Y5" s="5">
        <f>COUNTIF(AntibodyDrugList!J$3:J$176,"*CD20*")</f>
        <v>9</v>
      </c>
      <c r="AA5" s="7" t="s">
        <v>314</v>
      </c>
      <c r="AB5" s="5">
        <f>COUNTIF(AntibodyDrugList!K$3:K$176,"*Jak-STAT signaling pathway*")</f>
        <v>16</v>
      </c>
      <c r="AD5" s="84"/>
      <c r="AE5" s="85"/>
      <c r="AF5" s="86"/>
      <c r="AG5" s="94"/>
      <c r="AH5" s="94"/>
      <c r="AI5" s="94"/>
      <c r="AJ5" s="94"/>
      <c r="AK5" s="94"/>
      <c r="AL5" s="94"/>
      <c r="AM5" s="94"/>
      <c r="AN5" s="94"/>
      <c r="AO5" s="94"/>
      <c r="AP5" s="94"/>
      <c r="AQ5" s="94"/>
      <c r="AR5" s="94"/>
      <c r="AS5" s="94"/>
      <c r="AT5" s="94"/>
      <c r="AU5" s="94"/>
      <c r="AV5" s="94"/>
      <c r="AW5" s="94"/>
      <c r="AX5" s="94"/>
      <c r="AY5" s="94"/>
      <c r="AZ5" s="94"/>
      <c r="BA5" s="111"/>
      <c r="BB5" s="108"/>
    </row>
    <row r="6" spans="19:54" ht="11.7" customHeight="1" x14ac:dyDescent="0.25">
      <c r="S6" s="105"/>
      <c r="T6" s="61" t="s">
        <v>490</v>
      </c>
      <c r="U6" s="58" t="s">
        <v>1251</v>
      </c>
      <c r="V6" s="59" t="s">
        <v>1252</v>
      </c>
      <c r="X6" s="4" t="s">
        <v>36</v>
      </c>
      <c r="Y6" s="5">
        <f>COUNTIF(AntibodyDrugList!J$3:J$176,"*CD3*")</f>
        <v>9</v>
      </c>
      <c r="AA6" s="7" t="s">
        <v>410</v>
      </c>
      <c r="AB6" s="5">
        <f>COUNTIF(AntibodyDrugList!K$3:K$176,"*Hematopoietic cell lineage*")</f>
        <v>14</v>
      </c>
      <c r="AD6" s="84"/>
      <c r="AE6" s="85"/>
      <c r="AF6" s="86"/>
      <c r="AG6" s="94"/>
      <c r="AH6" s="94"/>
      <c r="AI6" s="94"/>
      <c r="AJ6" s="94"/>
      <c r="AK6" s="94"/>
      <c r="AL6" s="94"/>
      <c r="AM6" s="94"/>
      <c r="AN6" s="94"/>
      <c r="AO6" s="94"/>
      <c r="AP6" s="94"/>
      <c r="AQ6" s="94"/>
      <c r="AR6" s="94"/>
      <c r="AS6" s="94"/>
      <c r="AT6" s="94"/>
      <c r="AU6" s="94"/>
      <c r="AV6" s="94"/>
      <c r="AW6" s="94"/>
      <c r="AX6" s="94"/>
      <c r="AY6" s="94"/>
      <c r="AZ6" s="94"/>
      <c r="BA6" s="111"/>
      <c r="BB6" s="108"/>
    </row>
    <row r="7" spans="19:54" ht="11.7" customHeight="1" x14ac:dyDescent="0.25">
      <c r="S7" s="105"/>
      <c r="T7" s="61" t="s">
        <v>490</v>
      </c>
      <c r="U7" s="9" t="s">
        <v>982</v>
      </c>
      <c r="V7" s="11" t="s">
        <v>494</v>
      </c>
      <c r="X7" s="4" t="s">
        <v>38</v>
      </c>
      <c r="Y7" s="5">
        <f>COUNTIF(AntibodyDrugList!J$3:J$176,"*EGFR*")</f>
        <v>6</v>
      </c>
      <c r="AA7" s="7" t="s">
        <v>411</v>
      </c>
      <c r="AB7" s="5">
        <f>COUNTIF(AntibodyDrugList!K$3:K$176,"*MAPK signaling pathway*")</f>
        <v>15</v>
      </c>
      <c r="AD7" s="84"/>
      <c r="AE7" s="85"/>
      <c r="AF7" s="86"/>
      <c r="AG7" s="94"/>
      <c r="AH7" s="94"/>
      <c r="AI7" s="94"/>
      <c r="AJ7" s="94"/>
      <c r="AK7" s="94"/>
      <c r="AL7" s="94"/>
      <c r="AM7" s="94"/>
      <c r="AN7" s="94"/>
      <c r="AO7" s="94"/>
      <c r="AP7" s="94"/>
      <c r="AQ7" s="94"/>
      <c r="AR7" s="94"/>
      <c r="AS7" s="94"/>
      <c r="AT7" s="94"/>
      <c r="AU7" s="94"/>
      <c r="AV7" s="94"/>
      <c r="AW7" s="94"/>
      <c r="AX7" s="94"/>
      <c r="AY7" s="94"/>
      <c r="AZ7" s="94"/>
      <c r="BA7" s="111"/>
      <c r="BB7" s="108"/>
    </row>
    <row r="8" spans="19:54" ht="11.7" customHeight="1" x14ac:dyDescent="0.25">
      <c r="S8" s="104" t="s">
        <v>329</v>
      </c>
      <c r="T8" s="65" t="s">
        <v>376</v>
      </c>
      <c r="U8" s="67" t="s">
        <v>1253</v>
      </c>
      <c r="V8" s="68" t="s">
        <v>1254</v>
      </c>
      <c r="X8" s="7" t="s">
        <v>53</v>
      </c>
      <c r="Y8" s="5">
        <f>COUNTIF(AntibodyDrugList!J$3:J$176,"*VEGF-A*")</f>
        <v>4</v>
      </c>
      <c r="AA8" s="7" t="s">
        <v>432</v>
      </c>
      <c r="AB8" s="5">
        <f>COUNTIF(AntibodyDrugList!K$3:K$176,"*Cell adhesion molecules (CAMs)*")</f>
        <v>12</v>
      </c>
      <c r="AD8" s="84"/>
      <c r="AE8" s="85"/>
      <c r="AF8" s="86"/>
      <c r="AG8" s="94"/>
      <c r="AH8" s="94"/>
      <c r="AI8" s="94"/>
      <c r="AJ8" s="94"/>
      <c r="AK8" s="94"/>
      <c r="AL8" s="94"/>
      <c r="AM8" s="94"/>
      <c r="AN8" s="94"/>
      <c r="AO8" s="94"/>
      <c r="AP8" s="94"/>
      <c r="AQ8" s="94"/>
      <c r="AR8" s="94"/>
      <c r="AS8" s="94"/>
      <c r="AT8" s="94"/>
      <c r="AU8" s="94"/>
      <c r="AV8" s="94"/>
      <c r="AW8" s="94"/>
      <c r="AX8" s="94"/>
      <c r="AY8" s="94"/>
      <c r="AZ8" s="94"/>
      <c r="BA8" s="111"/>
      <c r="BB8" s="108"/>
    </row>
    <row r="9" spans="19:54" ht="11.7" customHeight="1" x14ac:dyDescent="0.25">
      <c r="S9" s="104"/>
      <c r="T9" s="65" t="s">
        <v>369</v>
      </c>
      <c r="U9" s="66" t="s">
        <v>703</v>
      </c>
      <c r="V9" s="20"/>
      <c r="X9" s="7" t="s">
        <v>37</v>
      </c>
      <c r="Y9" s="5">
        <f>COUNTIF(AntibodyDrugList!J$3:J$176,"*HER2*")</f>
        <v>3</v>
      </c>
      <c r="AA9" s="7" t="s">
        <v>431</v>
      </c>
      <c r="AB9" s="5">
        <f>COUNTIF(AntibodyDrugList!K$3:K$176,"*Rheumatoid arthritis*")</f>
        <v>13</v>
      </c>
      <c r="AD9" s="84"/>
      <c r="AE9" s="85"/>
      <c r="AF9" s="86"/>
      <c r="AG9" s="94"/>
      <c r="AH9" s="94"/>
      <c r="AI9" s="94"/>
      <c r="AJ9" s="94"/>
      <c r="AK9" s="94"/>
      <c r="AL9" s="94"/>
      <c r="AM9" s="94"/>
      <c r="AN9" s="94"/>
      <c r="AO9" s="94"/>
      <c r="AP9" s="94"/>
      <c r="AQ9" s="94"/>
      <c r="AR9" s="94"/>
      <c r="AS9" s="94"/>
      <c r="AT9" s="94"/>
      <c r="AU9" s="94"/>
      <c r="AV9" s="94"/>
      <c r="AW9" s="94"/>
      <c r="AX9" s="94"/>
      <c r="AY9" s="94"/>
      <c r="AZ9" s="94"/>
      <c r="BA9" s="111"/>
      <c r="BB9" s="108"/>
    </row>
    <row r="10" spans="19:54" ht="11.7" customHeight="1" x14ac:dyDescent="0.25">
      <c r="S10" s="104"/>
      <c r="T10" s="65" t="s">
        <v>383</v>
      </c>
      <c r="U10" s="66" t="s">
        <v>106</v>
      </c>
      <c r="V10" s="20" t="s">
        <v>933</v>
      </c>
      <c r="X10" s="7" t="s">
        <v>57</v>
      </c>
      <c r="Y10" s="5">
        <f>COUNTIF(AntibodyDrugList!J$3:J$176,"*PD-1*")</f>
        <v>3</v>
      </c>
      <c r="AA10" s="7" t="s">
        <v>308</v>
      </c>
      <c r="AB10" s="5">
        <f>COUNTIF(AntibodyDrugList!K$3:K$176,"*Focal adhesion*")</f>
        <v>9</v>
      </c>
      <c r="AD10" s="84"/>
      <c r="AE10" s="85"/>
      <c r="AF10" s="86"/>
      <c r="AG10" s="94"/>
      <c r="AH10" s="94"/>
      <c r="AI10" s="94"/>
      <c r="AJ10" s="94"/>
      <c r="AK10" s="94"/>
      <c r="AL10" s="94"/>
      <c r="AM10" s="94"/>
      <c r="AN10" s="94"/>
      <c r="AO10" s="94"/>
      <c r="AP10" s="94"/>
      <c r="AQ10" s="94"/>
      <c r="AR10" s="94"/>
      <c r="AS10" s="94"/>
      <c r="AT10" s="94"/>
      <c r="AU10" s="94"/>
      <c r="AV10" s="94"/>
      <c r="AW10" s="94"/>
      <c r="AX10" s="94"/>
      <c r="AY10" s="94"/>
      <c r="AZ10" s="94"/>
      <c r="BA10" s="111"/>
      <c r="BB10" s="108"/>
    </row>
    <row r="11" spans="19:54" ht="11.7" customHeight="1" x14ac:dyDescent="0.25">
      <c r="S11" s="104"/>
      <c r="T11" s="65" t="s">
        <v>1209</v>
      </c>
      <c r="U11" s="66" t="s">
        <v>870</v>
      </c>
      <c r="V11" s="20" t="s">
        <v>871</v>
      </c>
      <c r="X11" s="7" t="s">
        <v>6</v>
      </c>
      <c r="Y11" s="5">
        <f>COUNTIF(AntibodyDrugList!J$3:J$176,"*CD80*")</f>
        <v>2</v>
      </c>
      <c r="AA11" s="7" t="s">
        <v>313</v>
      </c>
      <c r="AB11" s="5">
        <f>COUNTIF(AntibodyDrugList!K$3:K$176,"*Pathways in cancer*")</f>
        <v>8</v>
      </c>
      <c r="AD11" s="84"/>
      <c r="AE11" s="85"/>
      <c r="AF11" s="86"/>
      <c r="AG11" s="94"/>
      <c r="AH11" s="94"/>
      <c r="AI11" s="94"/>
      <c r="AJ11" s="94"/>
      <c r="AK11" s="94"/>
      <c r="AL11" s="94"/>
      <c r="AM11" s="94"/>
      <c r="AN11" s="94"/>
      <c r="AO11" s="94"/>
      <c r="AP11" s="94"/>
      <c r="AQ11" s="94"/>
      <c r="AR11" s="94"/>
      <c r="AS11" s="94"/>
      <c r="AT11" s="94"/>
      <c r="AU11" s="94"/>
      <c r="AV11" s="94"/>
      <c r="AW11" s="94"/>
      <c r="AX11" s="94"/>
      <c r="AY11" s="94"/>
      <c r="AZ11" s="94"/>
      <c r="BA11" s="111"/>
      <c r="BB11" s="108"/>
    </row>
    <row r="12" spans="19:54" ht="11.7" customHeight="1" thickBot="1" x14ac:dyDescent="0.3">
      <c r="S12" s="104"/>
      <c r="T12" s="65" t="s">
        <v>1210</v>
      </c>
      <c r="U12" s="66" t="s">
        <v>714</v>
      </c>
      <c r="V12" s="20" t="s">
        <v>922</v>
      </c>
      <c r="X12" s="8" t="s">
        <v>59</v>
      </c>
      <c r="Y12" s="54">
        <f>COUNTIF(AntibodyDrugList!J$3:J$176,"*CD86*")</f>
        <v>2</v>
      </c>
      <c r="AA12" s="7" t="s">
        <v>262</v>
      </c>
      <c r="AB12" s="5">
        <f>COUNTIF(AntibodyDrugList!K$3:K$176,"*Apoptosis*")</f>
        <v>10</v>
      </c>
      <c r="AD12" s="84"/>
      <c r="AE12" s="85"/>
      <c r="AF12" s="86"/>
      <c r="AG12" s="94"/>
      <c r="AH12" s="94"/>
      <c r="AI12" s="94"/>
      <c r="AJ12" s="94"/>
      <c r="AK12" s="94"/>
      <c r="AL12" s="94"/>
      <c r="AM12" s="94"/>
      <c r="AN12" s="94"/>
      <c r="AO12" s="94"/>
      <c r="AP12" s="94"/>
      <c r="AQ12" s="94"/>
      <c r="AR12" s="94"/>
      <c r="AS12" s="94"/>
      <c r="AT12" s="94"/>
      <c r="AU12" s="94"/>
      <c r="AV12" s="94"/>
      <c r="AW12" s="94"/>
      <c r="AX12" s="94"/>
      <c r="AY12" s="94"/>
      <c r="AZ12" s="94"/>
      <c r="BA12" s="111"/>
      <c r="BB12" s="108"/>
    </row>
    <row r="13" spans="19:54" ht="11.7" customHeight="1" x14ac:dyDescent="0.25">
      <c r="S13" s="105" t="s">
        <v>322</v>
      </c>
      <c r="T13" s="61" t="s">
        <v>359</v>
      </c>
      <c r="U13" s="9" t="s">
        <v>589</v>
      </c>
      <c r="V13" s="11"/>
      <c r="AA13" s="7" t="s">
        <v>276</v>
      </c>
      <c r="AB13" s="5">
        <f>COUNTIF(AntibodyDrugList!K$3:K$176,"*T cell receptor signaling pathway*")</f>
        <v>6</v>
      </c>
      <c r="AD13" s="84"/>
      <c r="AE13" s="85"/>
      <c r="AF13" s="86"/>
      <c r="AG13" s="94"/>
      <c r="AH13" s="94"/>
      <c r="AI13" s="94"/>
      <c r="AJ13" s="94"/>
      <c r="AK13" s="94"/>
      <c r="AL13" s="94"/>
      <c r="AM13" s="94"/>
      <c r="AN13" s="94"/>
      <c r="AO13" s="94"/>
      <c r="AP13" s="94"/>
      <c r="AQ13" s="94"/>
      <c r="AR13" s="94"/>
      <c r="AS13" s="94"/>
      <c r="AT13" s="94"/>
      <c r="AU13" s="94"/>
      <c r="AV13" s="94"/>
      <c r="AW13" s="94"/>
      <c r="AX13" s="94"/>
      <c r="AY13" s="94"/>
      <c r="AZ13" s="94"/>
      <c r="BA13" s="111"/>
      <c r="BB13" s="108"/>
    </row>
    <row r="14" spans="19:54" ht="11.7" customHeight="1" x14ac:dyDescent="0.25">
      <c r="S14" s="105"/>
      <c r="T14" s="61" t="s">
        <v>385</v>
      </c>
      <c r="U14" s="58" t="s">
        <v>1255</v>
      </c>
      <c r="V14" s="59" t="s">
        <v>1330</v>
      </c>
      <c r="AA14" s="7" t="s">
        <v>310</v>
      </c>
      <c r="AB14" s="5">
        <f>COUNTIF(AntibodyDrugList!K$3:K$176,"*TGF-beta signaling pathway*")</f>
        <v>9</v>
      </c>
      <c r="AD14" s="84"/>
      <c r="AE14" s="85"/>
      <c r="AF14" s="86"/>
      <c r="AG14" s="94"/>
      <c r="AH14" s="94"/>
      <c r="AI14" s="94"/>
      <c r="AJ14" s="94"/>
      <c r="AK14" s="94"/>
      <c r="AL14" s="94"/>
      <c r="AM14" s="94"/>
      <c r="AN14" s="94"/>
      <c r="AO14" s="94"/>
      <c r="AP14" s="94"/>
      <c r="AQ14" s="94"/>
      <c r="AR14" s="94"/>
      <c r="AS14" s="94"/>
      <c r="AT14" s="94"/>
      <c r="AU14" s="94"/>
      <c r="AV14" s="94"/>
      <c r="AW14" s="94"/>
      <c r="AX14" s="94"/>
      <c r="AY14" s="94"/>
      <c r="AZ14" s="94"/>
      <c r="BA14" s="111"/>
      <c r="BB14" s="108"/>
    </row>
    <row r="15" spans="19:54" ht="11.7" customHeight="1" x14ac:dyDescent="0.25">
      <c r="S15" s="105"/>
      <c r="T15" s="61" t="s">
        <v>392</v>
      </c>
      <c r="U15" s="58" t="s">
        <v>1256</v>
      </c>
      <c r="V15" s="59" t="s">
        <v>1257</v>
      </c>
      <c r="AA15" s="7" t="s">
        <v>316</v>
      </c>
      <c r="AB15" s="5">
        <f>COUNTIF(AntibodyDrugList!K$3:K$176,"*ErbB signaling pathway*")</f>
        <v>5</v>
      </c>
      <c r="AD15" s="84"/>
      <c r="AE15" s="85"/>
      <c r="AF15" s="86"/>
      <c r="AG15" s="94"/>
      <c r="AH15" s="94"/>
      <c r="AI15" s="94"/>
      <c r="AJ15" s="94"/>
      <c r="AK15" s="94"/>
      <c r="AL15" s="94"/>
      <c r="AM15" s="94"/>
      <c r="AN15" s="94"/>
      <c r="AO15" s="94"/>
      <c r="AP15" s="94"/>
      <c r="AQ15" s="94"/>
      <c r="AR15" s="94"/>
      <c r="AS15" s="94"/>
      <c r="AT15" s="94"/>
      <c r="AU15" s="94"/>
      <c r="AV15" s="94"/>
      <c r="AW15" s="94"/>
      <c r="AX15" s="94"/>
      <c r="AY15" s="94"/>
      <c r="AZ15" s="94"/>
      <c r="BA15" s="111"/>
      <c r="BB15" s="108"/>
    </row>
    <row r="16" spans="19:54" ht="11.7" customHeight="1" thickBot="1" x14ac:dyDescent="0.3">
      <c r="S16" s="105"/>
      <c r="T16" s="61" t="s">
        <v>363</v>
      </c>
      <c r="U16" s="58" t="s">
        <v>1258</v>
      </c>
      <c r="V16" s="59" t="s">
        <v>1259</v>
      </c>
      <c r="AA16" s="7" t="s">
        <v>312</v>
      </c>
      <c r="AB16" s="5">
        <f>COUNTIF(AntibodyDrugList!K$3:K$176,"*VEGF signaling pathway*")</f>
        <v>5</v>
      </c>
      <c r="AD16" s="87"/>
      <c r="AE16" s="88"/>
      <c r="AF16" s="89"/>
      <c r="AG16" s="95"/>
      <c r="AH16" s="95"/>
      <c r="AI16" s="95"/>
      <c r="AJ16" s="95"/>
      <c r="AK16" s="95"/>
      <c r="AL16" s="95"/>
      <c r="AM16" s="95"/>
      <c r="AN16" s="95"/>
      <c r="AO16" s="95"/>
      <c r="AP16" s="95"/>
      <c r="AQ16" s="95"/>
      <c r="AR16" s="95"/>
      <c r="AS16" s="95"/>
      <c r="AT16" s="95"/>
      <c r="AU16" s="95"/>
      <c r="AV16" s="95"/>
      <c r="AW16" s="95"/>
      <c r="AX16" s="95"/>
      <c r="AY16" s="95"/>
      <c r="AZ16" s="95"/>
      <c r="BA16" s="112"/>
      <c r="BB16" s="109"/>
    </row>
    <row r="17" spans="19:54" ht="11.7" customHeight="1" thickTop="1" x14ac:dyDescent="0.25">
      <c r="S17" s="105"/>
      <c r="T17" s="61" t="s">
        <v>354</v>
      </c>
      <c r="U17" s="58" t="s">
        <v>1260</v>
      </c>
      <c r="V17" s="59" t="s">
        <v>1261</v>
      </c>
      <c r="AA17" s="7" t="s">
        <v>274</v>
      </c>
      <c r="AB17" s="5">
        <f>COUNTIF(AntibodyDrugList!K$3:K$176,"*Antigen processing and presentation*")</f>
        <v>8</v>
      </c>
      <c r="AD17" s="90" t="s">
        <v>3</v>
      </c>
      <c r="AE17" s="14" t="s">
        <v>93</v>
      </c>
      <c r="AF17" s="15"/>
      <c r="AG17" s="14">
        <f>COUNTIFS(AntibodyDrugList!$I$3:$I$176,"*Rheumatoid arthritis*",AntibodyDrugList!K$3:K$176,"*Cytokine-cytokine receptor interaction*")</f>
        <v>15</v>
      </c>
      <c r="AH17" s="14">
        <f>COUNTIFS(AntibodyDrugList!$I$3:$I$176,"*Rheumatoid arthritis*",AntibodyDrugList!K$3:K$176,"*Hematopoietic cell lineage*")</f>
        <v>2</v>
      </c>
      <c r="AI17" s="14">
        <f>COUNTIFS(AntibodyDrugList!$I$3:$I$176,"*Rheumatoid arthritis*",AntibodyDrugList!K$3:K$176,"*MAPK signaling pathway*")</f>
        <v>10</v>
      </c>
      <c r="AJ17" s="14">
        <f>COUNTIFS(AntibodyDrugList!$I$3:$I$176,"*Rheumatoid arthritis*",AntibodyDrugList!K$3:K$176,"*Rheumatoid arthritis*")</f>
        <v>12</v>
      </c>
      <c r="AK17" s="14">
        <f>COUNTIFS(AntibodyDrugList!$I$3:$I$176,"*Cell adhesion molecules*",AntibodyDrugList!K$3:K$176,"*Cell adhesion molecules*")</f>
        <v>0</v>
      </c>
      <c r="AL17" s="14">
        <f>COUNTIFS(AntibodyDrugList!$I$3:$I$176,"*Focal adhesion*",AntibodyDrugList!K$3:K$176,"*Focal adhesion*")</f>
        <v>0</v>
      </c>
      <c r="AM17" s="14">
        <f>COUNTIFS(AntibodyDrugList!$I$3:$I$176,"*Jak-STAT signaling pathway*",AntibodyDrugList!K$3:K$176,"*Jak-STAT signaling pathway*")</f>
        <v>0</v>
      </c>
      <c r="AN17" s="14">
        <f>COUNTIFS(AntibodyDrugList!$I$3:$I$176,"*Pathways in cancer*",AntibodyDrugList!K$3:K$176,"*Pathways in cancer*")</f>
        <v>0</v>
      </c>
      <c r="AO17" s="14">
        <f>COUNTIFS(AntibodyDrugList!$I$3:$I$176,"*ErbB signaling pathway*",AntibodyDrugList!K$3:K$176,"*ErbB signaling pathway*")</f>
        <v>0</v>
      </c>
      <c r="AP17" s="14">
        <f>COUNTIFS(AntibodyDrugList!$I$3:$I$176,"*Apoptosis*",AntibodyDrugList!K$3:K$176,"*Apoptosis*")</f>
        <v>0</v>
      </c>
      <c r="AQ17" s="14">
        <f>COUNTIFS(AntibodyDrugList!$I$3:$I$176,"*Calcium signaling pathway*",AntibodyDrugList!K$3:K$176,"*Calcium signaling pathway*")</f>
        <v>0</v>
      </c>
      <c r="AR17" s="14">
        <f>COUNTIFS(AntibodyDrugList!$I$3:$I$176,"*T cell receptor signaling pathway*",AntibodyDrugList!K$3:K$176,"*T cell receptor signaling pathway*")</f>
        <v>0</v>
      </c>
      <c r="AS17" s="14">
        <f>COUNTIFS(AntibodyDrugList!$I$3:$I$176,"*TGF-beta signaling pathway*",AntibodyDrugList!K$3:K$176,"*TGF-beta signaling pathway*")</f>
        <v>0</v>
      </c>
      <c r="AT17" s="14">
        <f>COUNTIFS(AntibodyDrugList!$I$3:$I$176,"*VEGF signaling pathway*",AntibodyDrugList!K$3:K$176,"*VEGF signaling pathway*")</f>
        <v>0</v>
      </c>
      <c r="AU17" s="14">
        <f>COUNTIFS(AntibodyDrugList!$I$3:$I$176,"*Adherens junction*",AntibodyDrugList!K$3:K$176,"*Adherens junction*")</f>
        <v>0</v>
      </c>
      <c r="AV17" s="14">
        <f>COUNTIFS(AntibodyDrugList!$I$3:$I$176,"*Adipocytokine signaling pathway*",AntibodyDrugList!K$3:K$176,"*Adipocytokine signaling pathway*")</f>
        <v>0</v>
      </c>
      <c r="AW17" s="14">
        <f>COUNTIFS(AntibodyDrugList!$I$3:$I$176,"*Antigen processing and presentation*",AntibodyDrugList!K$3:K$176,"*Antigen processing and presentation*")</f>
        <v>0</v>
      </c>
      <c r="AX17" s="14">
        <f>COUNTIFS(AntibodyDrugList!$I$3:$I$176,"*ECM-receptor interaction*",AntibodyDrugList!K$3:K$176,"*ECM-receptor interaction*")</f>
        <v>0</v>
      </c>
      <c r="AY17" s="14">
        <f>COUNTIFS(AntibodyDrugList!$I$3:$I$176,"*NOD-like receptor signaling pathway*",AntibodyDrugList!K$3:K$176,"*NOD-like receptor signaling pathway*")</f>
        <v>0</v>
      </c>
      <c r="AZ17" s="14">
        <f>COUNTIFS(AntibodyDrugList!$I$3:$I$176,"*Natural killer cell mediated cytotoxicity*",AntibodyDrugList!K$3:K$176,"*Natural killer cell mediated cytotoxicity*")</f>
        <v>0</v>
      </c>
      <c r="BA17" s="17">
        <f>COUNTIFS(AntibodyDrugList!$I$3:$I$176,"*Toll-like receptor signaling pathway*",AntibodyDrugList!K$3:K$176,"*Toll-like receptor signaling pathway*")</f>
        <v>0</v>
      </c>
      <c r="BB17" s="19">
        <f>SUM(AG17:BA17)</f>
        <v>39</v>
      </c>
    </row>
    <row r="18" spans="19:54" ht="11.7" customHeight="1" x14ac:dyDescent="0.25">
      <c r="S18" s="105"/>
      <c r="T18" s="61" t="s">
        <v>345</v>
      </c>
      <c r="U18" s="58" t="s">
        <v>1262</v>
      </c>
      <c r="V18" s="59" t="s">
        <v>1263</v>
      </c>
      <c r="AA18" s="7" t="s">
        <v>309</v>
      </c>
      <c r="AB18" s="5">
        <f>COUNTIF(AntibodyDrugList!K$3:K$176,"*ECM-receptor interaction*")</f>
        <v>5</v>
      </c>
      <c r="AD18" s="91"/>
      <c r="AE18" s="9" t="s">
        <v>105</v>
      </c>
      <c r="AF18" s="12"/>
      <c r="AG18" s="9">
        <f>COUNTIFS(AntibodyDrugList!$I$3:$I$176,"*Cancer*",AntibodyDrugList!K$3:K$176,"*Cytokine-cytokine receptor interaction*")</f>
        <v>4</v>
      </c>
      <c r="AH18" s="9">
        <f>COUNTIFS(AntibodyDrugList!$I$3:$I$176,"*Cancer*",AntibodyDrugList!K$3:K$176,"*Hematopoietic cell lineage*")</f>
        <v>1</v>
      </c>
      <c r="AI18" s="9">
        <f>COUNTIFS(AntibodyDrugList!$I$3:$I$176,"*Cancer*",AntibodyDrugList!K$3:K$176,"*MAPK signaling pathway*")</f>
        <v>3</v>
      </c>
      <c r="AJ18" s="9">
        <f>COUNTIFS(AntibodyDrugList!$I$3:$I$176,"*Cancer*",AntibodyDrugList!K$3:K$176,"*Rheumatoid arthritis*")</f>
        <v>0</v>
      </c>
      <c r="AK18" s="9">
        <f>COUNTIFS(AntibodyDrugList!$I$3:$I$176,"*Cancer*",AntibodyDrugList!K$3:K$176,"*Cell adhesion molecules*")</f>
        <v>1</v>
      </c>
      <c r="AL18" s="9">
        <f>COUNTIFS(AntibodyDrugList!$I$3:$I$176,"*Cancer*",AntibodyDrugList!K$3:K$176,"*Focal adhesion*")</f>
        <v>4</v>
      </c>
      <c r="AM18" s="9">
        <f>COUNTIFS(AntibodyDrugList!$I$3:$I$176,"*Cancer*",AntibodyDrugList!K$3:K$176,"*Jak-STAT signaling pathway*")</f>
        <v>0</v>
      </c>
      <c r="AN18" s="9">
        <f>COUNTIFS(AntibodyDrugList!$I$3:$I$176,"*Cancer*",AntibodyDrugList!K$3:K$176,"*Pathways in cancer*")</f>
        <v>5</v>
      </c>
      <c r="AO18" s="9">
        <f>COUNTIFS(AntibodyDrugList!$I$3:$I$176,"*Cancer*",AntibodyDrugList!K$3:K$176,"*ErbB signaling pathway*")</f>
        <v>5</v>
      </c>
      <c r="AP18" s="9">
        <f>COUNTIFS(AntibodyDrugList!$I$3:$I$176,"*Cancer*",AntibodyDrugList!K$3:K$176,"*Apoptosis*")</f>
        <v>1</v>
      </c>
      <c r="AQ18" s="9">
        <f>COUNTIFS(AntibodyDrugList!$I$3:$I$176,"*Cancer*",AntibodyDrugList!K$3:K$176,"*Calcium signaling pathway*")</f>
        <v>4</v>
      </c>
      <c r="AR18" s="9">
        <f>COUNTIFS(AntibodyDrugList!$I$3:$I$176,"*Cancer*",AntibodyDrugList!K$3:K$176,"*T cell receptor signaling pathway*")</f>
        <v>1</v>
      </c>
      <c r="AS18" s="9">
        <f>COUNTIFS(AntibodyDrugList!$I$3:$I$176,"*Cancer*",AntibodyDrugList!K$3:K$176,"*TGF-beta signaling pathway*")</f>
        <v>0</v>
      </c>
      <c r="AT18" s="9">
        <f>COUNTIFS(AntibodyDrugList!$I$3:$I$176,"*Cancer*",AntibodyDrugList!K$3:K$176,"*VEGF signaling pathway*")</f>
        <v>1</v>
      </c>
      <c r="AU18" s="9">
        <f>COUNTIFS(AntibodyDrugList!$I$3:$I$176,"*Cancer*",AntibodyDrugList!K$3:K$176,"*Adherens junction*")</f>
        <v>3</v>
      </c>
      <c r="AV18" s="9">
        <f>COUNTIFS(AntibodyDrugList!$I$3:$I$176,"*Cancer*",AntibodyDrugList!K$3:K$176,"*Adipocytokine signaling pathway*")</f>
        <v>0</v>
      </c>
      <c r="AW18" s="9">
        <f>COUNTIFS(AntibodyDrugList!$I$3:$I$176,"*Cancer*",AntibodyDrugList!K$3:K$176,"*Antigen processing and presentation*")</f>
        <v>0</v>
      </c>
      <c r="AX18" s="9">
        <f>COUNTIFS(AntibodyDrugList!$I$3:$I$176,"*Cancer*",AntibodyDrugList!K$3:K$176,"*ECM-receptor interaction*")</f>
        <v>1</v>
      </c>
      <c r="AY18" s="9">
        <f>COUNTIFS(AntibodyDrugList!$I$3:$I$176,"*Cancer*",AntibodyDrugList!K$3:K$176,"*NOD-like receptor signaling pathway*")</f>
        <v>0</v>
      </c>
      <c r="AZ18" s="9">
        <f>COUNTIFS(AntibodyDrugList!$I$3:$I$176,"*Cancer*",AntibodyDrugList!K$3:K$176,"*Natural killer cell mediated cytotoxicity*")</f>
        <v>0</v>
      </c>
      <c r="BA18" s="3">
        <f>COUNTIFS(AntibodyDrugList!$I$3:$I$176,"*Cancer*",AntibodyDrugList!K$3:K$176,"*Toll-like receptor signaling pathway*")</f>
        <v>0</v>
      </c>
      <c r="BB18" s="20">
        <f t="shared" ref="BB18:BB51" si="0">SUM(AG18:BA18)</f>
        <v>34</v>
      </c>
    </row>
    <row r="19" spans="19:54" ht="11.7" customHeight="1" x14ac:dyDescent="0.25">
      <c r="S19" s="105"/>
      <c r="T19" s="61" t="s">
        <v>377</v>
      </c>
      <c r="U19" s="58" t="s">
        <v>1264</v>
      </c>
      <c r="V19" s="59" t="s">
        <v>1265</v>
      </c>
      <c r="AA19" s="7" t="s">
        <v>317</v>
      </c>
      <c r="AB19" s="5">
        <f>COUNTIF(AntibodyDrugList!K$3:K$176,"*Calcium signaling pathway*")</f>
        <v>4</v>
      </c>
      <c r="AD19" s="91"/>
      <c r="AE19" s="9"/>
      <c r="AF19" s="13" t="s">
        <v>31</v>
      </c>
      <c r="AG19" s="9">
        <f>COUNTIFS(AntibodyDrugList!$I$3:$I$176,"*Colorectal cancer*",AntibodyDrugList!K$3:K$176,"*Cytokine-cytokine receptor interaction*")</f>
        <v>3</v>
      </c>
      <c r="AH19" s="9">
        <f>COUNTIFS(AntibodyDrugList!$I$3:$I$176,"*Colorectal cancer*",AntibodyDrugList!K$3:K$176,"*Hematopoietic cell lineage*")</f>
        <v>0</v>
      </c>
      <c r="AI19" s="9">
        <f>COUNTIFS(AntibodyDrugList!$I$3:$I$176,"*Colorectal cancer*",AntibodyDrugList!K$3:K$176,"*MAPK signaling pathway*")</f>
        <v>2</v>
      </c>
      <c r="AJ19" s="9">
        <f>COUNTIFS(AntibodyDrugList!$I$3:$I$176,"*Colorectal cancer*",AntibodyDrugList!K$3:K$176,"*Rheumatoid arthritis*")</f>
        <v>0</v>
      </c>
      <c r="AK19" s="9">
        <f>COUNTIFS(AntibodyDrugList!$I$3:$I$176,"*Colorectal cancer*",AntibodyDrugList!K$3:K$176,"*Cell adhesion molecules*")</f>
        <v>0</v>
      </c>
      <c r="AL19" s="9">
        <f>COUNTIFS(AntibodyDrugList!$I$3:$I$176,"*Colorectal cancer*",AntibodyDrugList!K$3:K$176,"*Focal adhesion*")</f>
        <v>0</v>
      </c>
      <c r="AM19" s="9">
        <f>COUNTIFS(AntibodyDrugList!$I$3:$I$176,"*Colorectal cancer*",AntibodyDrugList!K$3:K$176,"*Jak-STAT signaling pathway*")</f>
        <v>0</v>
      </c>
      <c r="AN19" s="9">
        <f>COUNTIFS(AntibodyDrugList!$I$3:$I$176,"*Colorectal cancer*",AntibodyDrugList!K$3:K$176,"*Pathways in cancer*")</f>
        <v>3</v>
      </c>
      <c r="AO19" s="9">
        <f>COUNTIFS(AntibodyDrugList!$I$3:$I$176,"*Colorectal cancer*",AntibodyDrugList!K$3:K$176,"*ErbB signaling pathway*")</f>
        <v>2</v>
      </c>
      <c r="AP19" s="9">
        <f>COUNTIFS(AntibodyDrugList!$I$3:$I$176,"*Colorectal cancer*",AntibodyDrugList!K$3:K$176,"*Apoptosis*")</f>
        <v>0</v>
      </c>
      <c r="AQ19" s="9">
        <f>COUNTIFS(AntibodyDrugList!$I$3:$I$176,"*Colorectal cancer*",AntibodyDrugList!K$3:K$176,"*Calcium signaling pathway*")</f>
        <v>2</v>
      </c>
      <c r="AR19" s="9">
        <f>COUNTIFS(AntibodyDrugList!$I$3:$I$176,"*Colorectal cancer*",AntibodyDrugList!K$3:K$176,"*T cell receptor signaling pathway*")</f>
        <v>0</v>
      </c>
      <c r="AS19" s="9">
        <f>COUNTIFS(AntibodyDrugList!$I$3:$I$176,"*Colorectal cancer*",AntibodyDrugList!K$3:K$176,"*TGF-beta signaling pathway*")</f>
        <v>0</v>
      </c>
      <c r="AT19" s="9">
        <f>COUNTIFS(AntibodyDrugList!$I$3:$I$176,"*Colorectal cancer*",AntibodyDrugList!K$3:K$176,"*VEGF signaling pathway*")</f>
        <v>1</v>
      </c>
      <c r="AU19" s="9">
        <f>COUNTIFS(AntibodyDrugList!$I$3:$I$176,"*Colorectal cancer*",AntibodyDrugList!K$3:K$176,"*Adherens junction*")</f>
        <v>0</v>
      </c>
      <c r="AV19" s="9">
        <f>COUNTIFS(AntibodyDrugList!$I$3:$I$176,"*Colorectal cancer*",AntibodyDrugList!K$3:K$176,"*Adipocytokine signaling pathway*")</f>
        <v>0</v>
      </c>
      <c r="AW19" s="9">
        <f>COUNTIFS(AntibodyDrugList!$I$3:$I$176,"*Colorectal cancer*",AntibodyDrugList!K$3:K$176,"*Antigen processing and presentation*")</f>
        <v>0</v>
      </c>
      <c r="AX19" s="9">
        <f>COUNTIFS(AntibodyDrugList!$I$3:$I$176,"*Colorectal cancer*",AntibodyDrugList!K$3:K$176,"*ECM-receptor interaction*")</f>
        <v>0</v>
      </c>
      <c r="AY19" s="9">
        <f>COUNTIFS(AntibodyDrugList!$I$3:$I$176,"*Colorectal cancer*",AntibodyDrugList!K$3:K$176,"*NOD-like receptor signaling pathway*")</f>
        <v>0</v>
      </c>
      <c r="AZ19" s="9">
        <f>COUNTIFS(AntibodyDrugList!$I$3:$I$176,"*Colorectal cancer*",AntibodyDrugList!K$3:K$176,"*Natural killer cell mediated cytotoxicity*")</f>
        <v>0</v>
      </c>
      <c r="BA19" s="3">
        <f>COUNTIFS(AntibodyDrugList!$I$3:$I$176,"*Colorectal cancer*",AntibodyDrugList!K$3:K$176,"*Toll-like receptor signaling pathway*")</f>
        <v>0</v>
      </c>
      <c r="BB19" s="20">
        <f t="shared" si="0"/>
        <v>13</v>
      </c>
    </row>
    <row r="20" spans="19:54" ht="11.7" customHeight="1" x14ac:dyDescent="0.25">
      <c r="S20" s="105"/>
      <c r="T20" s="61" t="s">
        <v>352</v>
      </c>
      <c r="U20" s="9" t="s">
        <v>107</v>
      </c>
      <c r="V20" s="11" t="s">
        <v>880</v>
      </c>
      <c r="AA20" s="7" t="s">
        <v>315</v>
      </c>
      <c r="AB20" s="5">
        <f>COUNTIF(AntibodyDrugList!K$3:K$176,"*Adipocytokine signaling pathway*")</f>
        <v>7</v>
      </c>
      <c r="AD20" s="91"/>
      <c r="AE20" s="9"/>
      <c r="AF20" s="13" t="s">
        <v>223</v>
      </c>
      <c r="AG20" s="9">
        <f>COUNTIFS(AntibodyDrugList!$I$3:$I$176,"*Breast cancer*",AntibodyDrugList!K$3:K$176,"*Cytokine-cytokine receptor interaction*")</f>
        <v>0</v>
      </c>
      <c r="AH20" s="9">
        <f>COUNTIFS(AntibodyDrugList!$I$3:$I$176,"*Breast cancer*",AntibodyDrugList!K$3:K$176,"*Hematopoietic cell lineage*")</f>
        <v>0</v>
      </c>
      <c r="AI20" s="9">
        <f>COUNTIFS(AntibodyDrugList!$I$3:$I$176,"*Breast cancer*",AntibodyDrugList!K$3:K$176,"*MAPK signaling pathway*")</f>
        <v>0</v>
      </c>
      <c r="AJ20" s="9">
        <f>COUNTIFS(AntibodyDrugList!$I$3:$I$176,"*Breast cancer*",AntibodyDrugList!K$3:K$176,"*Rheumatoid arthritis*")</f>
        <v>0</v>
      </c>
      <c r="AK20" s="9">
        <f>COUNTIFS(AntibodyDrugList!$I$3:$I$176,"*Breast cancer*",AntibodyDrugList!K$3:K$176,"*Cell adhesion molecules*")</f>
        <v>0</v>
      </c>
      <c r="AL20" s="9">
        <f>COUNTIFS(AntibodyDrugList!$I$3:$I$176,"*Breast cancer*",AntibodyDrugList!K$3:K$176,"*Focal adhesion*")</f>
        <v>3</v>
      </c>
      <c r="AM20" s="9">
        <f>COUNTIFS(AntibodyDrugList!$I$3:$I$176,"*Breast cancer*",AntibodyDrugList!K$3:K$176,"*Jak-STAT signaling pathway*")</f>
        <v>0</v>
      </c>
      <c r="AN20" s="9">
        <f>COUNTIFS(AntibodyDrugList!$I$3:$I$176,"*Breast cancer*",AntibodyDrugList!K$3:K$176,"*Pathways in cancer*")</f>
        <v>2</v>
      </c>
      <c r="AO20" s="9">
        <f>COUNTIFS(AntibodyDrugList!$I$3:$I$176,"*Breast cancer*",AntibodyDrugList!K$3:K$176,"*ErbB signaling pathway*")</f>
        <v>3</v>
      </c>
      <c r="AP20" s="9">
        <f>COUNTIFS(AntibodyDrugList!$I$3:$I$176,"*Breast cancer*",AntibodyDrugList!K$3:K$176,"*Apoptosis*")</f>
        <v>0</v>
      </c>
      <c r="AQ20" s="9">
        <f>COUNTIFS(AntibodyDrugList!$I$3:$I$176,"*Breast cancer*",AntibodyDrugList!K$3:K$176,"*Calcium signaling pathway*")</f>
        <v>2</v>
      </c>
      <c r="AR20" s="9">
        <f>COUNTIFS(AntibodyDrugList!$I$3:$I$176,"*Breast cancer*",AntibodyDrugList!K$3:K$176,"*T cell receptor signaling pathway*")</f>
        <v>0</v>
      </c>
      <c r="AS20" s="9">
        <f>COUNTIFS(AntibodyDrugList!$I$3:$I$176,"*Breast cancer*",AntibodyDrugList!K$3:K$176,"*TGF-beta signaling pathway*")</f>
        <v>0</v>
      </c>
      <c r="AT20" s="9">
        <f>COUNTIFS(AntibodyDrugList!$I$3:$I$176,"*Breast cancer*",AntibodyDrugList!K$3:K$176,"*VEGF signaling pathway*")</f>
        <v>0</v>
      </c>
      <c r="AU20" s="9">
        <f>COUNTIFS(AntibodyDrugList!$I$3:$I$176,"*Breast cancer*",AntibodyDrugList!K$3:K$176,"*Adherens junction*")</f>
        <v>3</v>
      </c>
      <c r="AV20" s="9">
        <f>COUNTIFS(AntibodyDrugList!$I$3:$I$176,"*Breast cancer*",AntibodyDrugList!K$3:K$176,"*Adipocytokine signaling pathway*")</f>
        <v>0</v>
      </c>
      <c r="AW20" s="9">
        <f>COUNTIFS(AntibodyDrugList!$I$3:$I$176,"*Breast cancer*",AntibodyDrugList!K$3:K$176,"*Antigen processing and presentation*")</f>
        <v>0</v>
      </c>
      <c r="AX20" s="9">
        <f>COUNTIFS(AntibodyDrugList!$I$3:$I$176,"*Breast cancer*",AntibodyDrugList!K$3:K$176,"*ECM-receptor interaction*")</f>
        <v>0</v>
      </c>
      <c r="AY20" s="9">
        <f>COUNTIFS(AntibodyDrugList!$I$3:$I$176,"*Breast cancer*",AntibodyDrugList!K$3:K$176,"*NOD-like receptor signaling pathway*")</f>
        <v>0</v>
      </c>
      <c r="AZ20" s="9">
        <f>COUNTIFS(AntibodyDrugList!$I$3:$I$176,"*Breast cancer*",AntibodyDrugList!K$3:K$176,"*Natural killer cell mediated cytotoxicity*")</f>
        <v>0</v>
      </c>
      <c r="BA20" s="3">
        <f>COUNTIFS(AntibodyDrugList!$I$3:$I$176,"*Breast cancer*",AntibodyDrugList!K$3:K$176,"*Toll-like receptor signaling pathway*")</f>
        <v>0</v>
      </c>
      <c r="BB20" s="20">
        <f t="shared" si="0"/>
        <v>13</v>
      </c>
    </row>
    <row r="21" spans="19:54" ht="11.7" customHeight="1" x14ac:dyDescent="0.25">
      <c r="S21" s="105"/>
      <c r="T21" s="61" t="s">
        <v>374</v>
      </c>
      <c r="U21" s="58" t="s">
        <v>1266</v>
      </c>
      <c r="V21" s="59" t="s">
        <v>1267</v>
      </c>
      <c r="AA21" s="7" t="s">
        <v>282</v>
      </c>
      <c r="AB21" s="5">
        <f>COUNTIF(AntibodyDrugList!K$3:K$176,"*NOD-like receptor signaling pathway*")</f>
        <v>4</v>
      </c>
      <c r="AD21" s="91"/>
      <c r="AE21" s="9"/>
      <c r="AF21" s="13" t="s">
        <v>149</v>
      </c>
      <c r="AG21" s="9">
        <f>COUNTIFS(AntibodyDrugList!$I$3:$I$176,"*Head and neck cancer*",AntibodyDrugList!K$3:K$176,"*Cytokine-cytokine receptor interaction*")</f>
        <v>1</v>
      </c>
      <c r="AH21" s="9">
        <f>COUNTIFS(AntibodyDrugList!$I$3:$I$176,"*Head and neck cancer*",AntibodyDrugList!K$3:K$176,"*Hematopoietic cell lineage*")</f>
        <v>0</v>
      </c>
      <c r="AI21" s="9">
        <f>COUNTIFS(AntibodyDrugList!$I$3:$I$176,"*Head and neck cancer*",AntibodyDrugList!K$3:K$176,"*MAPK signaling pathway*")</f>
        <v>1</v>
      </c>
      <c r="AJ21" s="9">
        <f>COUNTIFS(AntibodyDrugList!$I$3:$I$176,"*Head and neck cancer*",AntibodyDrugList!K$3:K$176,"*Rheumatoid arthritis*")</f>
        <v>0</v>
      </c>
      <c r="AK21" s="9">
        <f>COUNTIFS(AntibodyDrugList!$I$3:$I$176,"*Head and neck cancer*",AntibodyDrugList!K$3:K$176,"*Cell adhesion molecules*")</f>
        <v>0</v>
      </c>
      <c r="AL21" s="9">
        <f>COUNTIFS(AntibodyDrugList!$I$3:$I$176,"*Head and neck cancer*",AntibodyDrugList!K$3:K$176,"*Focal adhesion*")</f>
        <v>0</v>
      </c>
      <c r="AM21" s="9">
        <f>COUNTIFS(AntibodyDrugList!$I$3:$I$176,"*Head and neck cancer*",AntibodyDrugList!K$3:K$176,"*Jak-STAT signaling pathway*")</f>
        <v>0</v>
      </c>
      <c r="AN21" s="9">
        <f>COUNTIFS(AntibodyDrugList!$I$3:$I$176,"*Head and neck cancer*",AntibodyDrugList!K$3:K$176,"*Pathways in cancer*")</f>
        <v>1</v>
      </c>
      <c r="AO21" s="9">
        <f>COUNTIFS(AntibodyDrugList!$I$3:$I$176,"*Head and neck cancer*",AntibodyDrugList!K$3:K$176,"*ErbB signaling pathway*")</f>
        <v>1</v>
      </c>
      <c r="AP21" s="9">
        <f>COUNTIFS(AntibodyDrugList!$I$3:$I$176,"*Head and neck cancer*",AntibodyDrugList!K$3:K$176,"*Apoptosis*")</f>
        <v>0</v>
      </c>
      <c r="AQ21" s="9">
        <f>COUNTIFS(AntibodyDrugList!$I$3:$I$176,"*Head and neck cancer*",AntibodyDrugList!K$3:K$176,"*Calcium signaling pathway*")</f>
        <v>1</v>
      </c>
      <c r="AR21" s="9">
        <f>COUNTIFS(AntibodyDrugList!$I$3:$I$176,"*Head and neck cancer*",AntibodyDrugList!K$3:K$176,"*T cell receptor signaling pathway*")</f>
        <v>0</v>
      </c>
      <c r="AS21" s="9">
        <f>COUNTIFS(AntibodyDrugList!$I$3:$I$176,"*Head and neck cancer*",AntibodyDrugList!K$3:K$176,"*TGF-beta signaling pathway*")</f>
        <v>0</v>
      </c>
      <c r="AT21" s="9">
        <f>COUNTIFS(AntibodyDrugList!$I$3:$I$176,"*Head and neck cancer*",AntibodyDrugList!K$3:K$176,"*VEGF signaling pathway*")</f>
        <v>0</v>
      </c>
      <c r="AU21" s="9">
        <f>COUNTIFS(AntibodyDrugList!$I$3:$I$176,"*Head and neck cancer*",AntibodyDrugList!K$3:K$176,"*Adherens junction*")</f>
        <v>0</v>
      </c>
      <c r="AV21" s="9">
        <f>COUNTIFS(AntibodyDrugList!$I$3:$I$176,"*Head and neck cancer*",AntibodyDrugList!K$3:K$176,"*Adipocytokine signaling pathway*")</f>
        <v>0</v>
      </c>
      <c r="AW21" s="9">
        <f>COUNTIFS(AntibodyDrugList!$I$3:$I$176,"*Head and neck cancer*",AntibodyDrugList!K$3:K$176,"*Antigen processing and presentation*")</f>
        <v>0</v>
      </c>
      <c r="AX21" s="9">
        <f>COUNTIFS(AntibodyDrugList!$I$3:$I$176,"*Head and neck cancer*",AntibodyDrugList!K$3:K$176,"*ECM-receptor interaction*")</f>
        <v>0</v>
      </c>
      <c r="AY21" s="9">
        <f>COUNTIFS(AntibodyDrugList!$I$3:$I$176,"*Head and neck cancer*",AntibodyDrugList!K$3:K$176,"*NOD-like receptor signaling pathway*")</f>
        <v>0</v>
      </c>
      <c r="AZ21" s="9">
        <f>COUNTIFS(AntibodyDrugList!$I$3:$I$176,"*Head and neck cancer*",AntibodyDrugList!K$3:K$176,"*Natural killer cell mediated cytotoxicity*")</f>
        <v>0</v>
      </c>
      <c r="BA21" s="3">
        <f>COUNTIFS(AntibodyDrugList!$I$3:$I$176,"*Head and neck cancer*",AntibodyDrugList!K$3:K$176,"*Toll-like receptor signaling pathway*")</f>
        <v>0</v>
      </c>
      <c r="BB21" s="20">
        <f t="shared" si="0"/>
        <v>5</v>
      </c>
    </row>
    <row r="22" spans="19:54" ht="11.7" customHeight="1" x14ac:dyDescent="0.25">
      <c r="S22" s="105"/>
      <c r="T22" s="61" t="s">
        <v>368</v>
      </c>
      <c r="U22" s="58" t="s">
        <v>1268</v>
      </c>
      <c r="V22" s="59" t="s">
        <v>1269</v>
      </c>
      <c r="AA22" s="7" t="s">
        <v>311</v>
      </c>
      <c r="AB22" s="5">
        <f>COUNTIF(AntibodyDrugList!K$3:K$176,"*Natural killer cell mediated cytotoxicity*")</f>
        <v>4</v>
      </c>
      <c r="AD22" s="91"/>
      <c r="AE22" s="9" t="s">
        <v>296</v>
      </c>
      <c r="AF22" s="12"/>
      <c r="AG22" s="9">
        <f>COUNTIFS(AntibodyDrugList!$I$3:$I$176,"*Crohn's disease*",AntibodyDrugList!K$3:K$176,"*Cytokine-cytokine receptor interaction*")</f>
        <v>5</v>
      </c>
      <c r="AH22" s="9">
        <f>COUNTIFS(AntibodyDrugList!$I$3:$I$176,"*Crohn's disease*",AntibodyDrugList!K$3:K$176,"*Hematopoietic cell lineage*")</f>
        <v>1</v>
      </c>
      <c r="AI22" s="9">
        <f>COUNTIFS(AntibodyDrugList!$I$3:$I$176,"*Crohn's disease*",AntibodyDrugList!K$3:K$176,"*MAPK signaling pathway*")</f>
        <v>4</v>
      </c>
      <c r="AJ22" s="9">
        <f>COUNTIFS(AntibodyDrugList!$I$3:$I$176,"*Crohn's disease*",AntibodyDrugList!K$3:K$176,"*Rheumatoid arthritis*")</f>
        <v>4</v>
      </c>
      <c r="AK22" s="9">
        <f>COUNTIFS(AntibodyDrugList!$I$3:$I$176,"*Crohn's disease*",AntibodyDrugList!K$3:K$176,"*Cell adhesion molecules*")</f>
        <v>1</v>
      </c>
      <c r="AL22" s="9">
        <f>COUNTIFS(AntibodyDrugList!$I$3:$I$176,"*Crohn's disease*",AntibodyDrugList!K$3:K$176,"*Focal adhesion*")</f>
        <v>0</v>
      </c>
      <c r="AM22" s="9">
        <f>COUNTIFS(AntibodyDrugList!$I$3:$I$176,"*Crohn's disease*",AntibodyDrugList!K$3:K$176,"*Jak-STAT signaling pathway*")</f>
        <v>1</v>
      </c>
      <c r="AN22" s="9">
        <f>COUNTIFS(AntibodyDrugList!$I$3:$I$176,"*Crohn's disease*",AntibodyDrugList!K$3:K$176,"*Pathways in cancer*")</f>
        <v>0</v>
      </c>
      <c r="AO22" s="9">
        <f>COUNTIFS(AntibodyDrugList!$I$3:$I$176,"*Crohn's disease*",AntibodyDrugList!K$3:K$176,"*ErbB signaling pathway*")</f>
        <v>0</v>
      </c>
      <c r="AP22" s="9">
        <f>COUNTIFS(AntibodyDrugList!$I$3:$I$176,"*Crohn's disease*",AntibodyDrugList!K$3:K$176,"*Apoptosis*")</f>
        <v>3</v>
      </c>
      <c r="AQ22" s="9">
        <f>COUNTIFS(AntibodyDrugList!$I$3:$I$176,"*Crohn's disease*",AntibodyDrugList!K$3:K$176,"*Calcium signaling pathway*")</f>
        <v>0</v>
      </c>
      <c r="AR22" s="9">
        <f>COUNTIFS(AntibodyDrugList!$I$3:$I$176,"*Crohn's disease*",AntibodyDrugList!K$3:K$176,"*T cell receptor signaling pathway*")</f>
        <v>0</v>
      </c>
      <c r="AS22" s="9">
        <f>COUNTIFS(AntibodyDrugList!$I$3:$I$176,"*Crohn's disease*",AntibodyDrugList!K$3:K$176,"*TGF-beta signaling pathway*")</f>
        <v>4</v>
      </c>
      <c r="AT22" s="9">
        <f>COUNTIFS(AntibodyDrugList!$I$3:$I$176,"*Crohn's disease*",AntibodyDrugList!K$3:K$176,"*VEGF signaling pathway*")</f>
        <v>0</v>
      </c>
      <c r="AU22" s="9">
        <f>COUNTIFS(AntibodyDrugList!$I$3:$I$176,"*Crohn's disease*",AntibodyDrugList!K$3:K$176,"*Adherens junction*")</f>
        <v>0</v>
      </c>
      <c r="AV22" s="9">
        <f>COUNTIFS(AntibodyDrugList!$I$3:$I$176,"*Crohn's disease*",AntibodyDrugList!K$3:K$176,"*Adipocytokine signaling pathway*")</f>
        <v>2</v>
      </c>
      <c r="AW22" s="9">
        <f>COUNTIFS(AntibodyDrugList!$I$3:$I$176,"*Crohn's disease*",AntibodyDrugList!K$3:K$176,"*Antigen processing and presentation*")</f>
        <v>3</v>
      </c>
      <c r="AX22" s="9">
        <f>COUNTIFS(AntibodyDrugList!$I$3:$I$176,"*Crohn's disease*",AntibodyDrugList!K$3:K$176,"*ECM-receptor interaction*")</f>
        <v>1</v>
      </c>
      <c r="AY22" s="9">
        <f>COUNTIFS(AntibodyDrugList!$I$3:$I$176,"*Crohn's disease*",AntibodyDrugList!K$3:K$176,"*NOD-like receptor signaling pathway*")</f>
        <v>0</v>
      </c>
      <c r="AZ22" s="9">
        <f>COUNTIFS(AntibodyDrugList!$I$3:$I$176,"*Crohn's disease*",AntibodyDrugList!K$3:K$176,"*Natural killer cell mediated cytotoxicity*")</f>
        <v>3</v>
      </c>
      <c r="BA22" s="3">
        <f>COUNTIFS(AntibodyDrugList!$I$3:$I$176,"*Crohn's disease*",AntibodyDrugList!K$3:K$176,"*Toll-like receptor signaling pathway*")</f>
        <v>1</v>
      </c>
      <c r="BB22" s="20">
        <f t="shared" si="0"/>
        <v>33</v>
      </c>
    </row>
    <row r="23" spans="19:54" ht="11.7" customHeight="1" x14ac:dyDescent="0.25">
      <c r="S23" s="105"/>
      <c r="T23" s="61" t="s">
        <v>347</v>
      </c>
      <c r="U23" s="58" t="s">
        <v>1270</v>
      </c>
      <c r="V23" s="59" t="s">
        <v>1271</v>
      </c>
      <c r="AA23" s="7" t="s">
        <v>318</v>
      </c>
      <c r="AB23" s="5">
        <f>COUNTIF(AntibodyDrugList!K$3:K$176,"*Adherens junction*")</f>
        <v>3</v>
      </c>
      <c r="AD23" s="91"/>
      <c r="AE23" s="9" t="s">
        <v>101</v>
      </c>
      <c r="AF23" s="12"/>
      <c r="AG23" s="9">
        <f>COUNTIFS(AntibodyDrugList!$I$3:$I$176,"*Asthma*",AntibodyDrugList!K$3:K$176,"*Cytokine-cytokine receptor interaction*")</f>
        <v>8</v>
      </c>
      <c r="AH23" s="9">
        <f>COUNTIFS(AntibodyDrugList!$I$3:$I$176,"*Asthma*",AntibodyDrugList!K$3:K$176,"*Hematopoietic cell lineage*")</f>
        <v>2</v>
      </c>
      <c r="AI23" s="9">
        <f>COUNTIFS(AntibodyDrugList!$I$3:$I$176,"*Asthma*",AntibodyDrugList!K$3:K$176,"*MAPK signaling pathway*")</f>
        <v>1</v>
      </c>
      <c r="AJ23" s="9">
        <f>COUNTIFS(AntibodyDrugList!$I$3:$I$176,"*Asthma*",AntibodyDrugList!K$3:K$176,"*Rheumatoid arthritis*")</f>
        <v>1</v>
      </c>
      <c r="AK23" s="9">
        <f>COUNTIFS(AntibodyDrugList!$I$3:$I$176,"*Asthma*",AntibodyDrugList!K$3:K$176,"*Cell adhesion molecules*")</f>
        <v>0</v>
      </c>
      <c r="AL23" s="9">
        <f>COUNTIFS(AntibodyDrugList!$I$3:$I$176,"*Asthma*",AntibodyDrugList!K$3:K$176,"*Focal adhesion*")</f>
        <v>0</v>
      </c>
      <c r="AM23" s="9">
        <f>COUNTIFS(AntibodyDrugList!$I$3:$I$176,"*Asthma*",AntibodyDrugList!K$3:K$176,"*Jak-STAT signaling pathway*")</f>
        <v>7</v>
      </c>
      <c r="AN23" s="9">
        <f>COUNTIFS(AntibodyDrugList!$I$3:$I$176,"*Asthma*",AntibodyDrugList!K$3:K$176,"*Pathways in cancer*")</f>
        <v>0</v>
      </c>
      <c r="AO23" s="9">
        <f>COUNTIFS(AntibodyDrugList!$I$3:$I$176,"*Asthma*",AntibodyDrugList!K$3:K$176,"*ErbB signaling pathway*")</f>
        <v>0</v>
      </c>
      <c r="AP23" s="9">
        <f>COUNTIFS(AntibodyDrugList!$I$3:$I$176,"*Asthma*",AntibodyDrugList!K$3:K$176,"*Apoptosis*")</f>
        <v>0</v>
      </c>
      <c r="AQ23" s="9">
        <f>COUNTIFS(AntibodyDrugList!$I$3:$I$176,"*Asthma*",AntibodyDrugList!K$3:K$176,"*Calcium signaling pathway*")</f>
        <v>0</v>
      </c>
      <c r="AR23" s="9">
        <f>COUNTIFS(AntibodyDrugList!$I$3:$I$176,"*Asthma*",AntibodyDrugList!K$3:K$176,"*T cell receptor signaling pathway*")</f>
        <v>0</v>
      </c>
      <c r="AS23" s="9">
        <f>COUNTIFS(AntibodyDrugList!$I$3:$I$176,"*Asthma*",AntibodyDrugList!K$3:K$176,"*TGF-beta signaling pathway*")</f>
        <v>1</v>
      </c>
      <c r="AT23" s="9">
        <f>COUNTIFS(AntibodyDrugList!$I$3:$I$176,"*Asthma*",AntibodyDrugList!K$3:K$176,"*VEGF signaling pathway*")</f>
        <v>0</v>
      </c>
      <c r="AU23" s="9">
        <f>COUNTIFS(AntibodyDrugList!$I$3:$I$176,"*Asthma*",AntibodyDrugList!K$3:K$176,"*Adherens junction*")</f>
        <v>0</v>
      </c>
      <c r="AV23" s="9">
        <f>COUNTIFS(AntibodyDrugList!$I$3:$I$176,"*Asthma*",AntibodyDrugList!K$3:K$176,"*Adipocytokine signaling pathway*")</f>
        <v>1</v>
      </c>
      <c r="AW23" s="9">
        <f>COUNTIFS(AntibodyDrugList!$I$3:$I$176,"*Asthma*",AntibodyDrugList!K$3:K$176,"*Antigen processing and presentation*")</f>
        <v>0</v>
      </c>
      <c r="AX23" s="9">
        <f>COUNTIFS(AntibodyDrugList!$I$3:$I$176,"*Asthma*",AntibodyDrugList!K$3:K$176,"*ECM-receptor interaction*")</f>
        <v>0</v>
      </c>
      <c r="AY23" s="9">
        <f>COUNTIFS(AntibodyDrugList!$I$3:$I$176,"*Asthma*",AntibodyDrugList!K$3:K$176,"*NOD-like receptor signaling pathway*")</f>
        <v>0</v>
      </c>
      <c r="AZ23" s="9">
        <f>COUNTIFS(AntibodyDrugList!$I$3:$I$176,"*Asthma*",AntibodyDrugList!K$3:K$176,"*Natural killer cell mediated cytotoxicity*")</f>
        <v>0</v>
      </c>
      <c r="BA23" s="3">
        <f>COUNTIFS(AntibodyDrugList!$I$3:$I$176,"*Asthma*",AntibodyDrugList!K$3:K$176,"*Toll-like receptor signaling pathway*")</f>
        <v>0</v>
      </c>
      <c r="BB23" s="20">
        <f t="shared" si="0"/>
        <v>21</v>
      </c>
    </row>
    <row r="24" spans="19:54" ht="11.7" customHeight="1" thickBot="1" x14ac:dyDescent="0.3">
      <c r="S24" s="105"/>
      <c r="T24" s="61" t="s">
        <v>379</v>
      </c>
      <c r="U24" s="58" t="s">
        <v>1272</v>
      </c>
      <c r="V24" s="59" t="s">
        <v>1273</v>
      </c>
      <c r="AA24" s="8" t="s">
        <v>307</v>
      </c>
      <c r="AB24" s="54">
        <f>COUNTIF(AntibodyDrugList!K$3:K$176,"*Toll-like receptor signaling pathway*")</f>
        <v>3</v>
      </c>
      <c r="AD24" s="91"/>
      <c r="AE24" s="9" t="s">
        <v>74</v>
      </c>
      <c r="AF24" s="12"/>
      <c r="AG24" s="9">
        <f>COUNTIFS(AntibodyDrugList!$I$3:$I$176,"*Alzheimer's disease*",AntibodyDrugList!K$3:K$176,"*Cytokine-cytokine receptor interaction*")</f>
        <v>0</v>
      </c>
      <c r="AH24" s="9">
        <f>COUNTIFS(AntibodyDrugList!$I$3:$I$176,"*Alzheimer's disease*",AntibodyDrugList!K$3:K$176,"*Hematopoietic cell lineage*")</f>
        <v>0</v>
      </c>
      <c r="AI24" s="9">
        <f>COUNTIFS(AntibodyDrugList!$I$3:$I$176,"*Alzheimer's disease*",AntibodyDrugList!K$3:K$176,"*MAPK signaling pathway*")</f>
        <v>0</v>
      </c>
      <c r="AJ24" s="9">
        <f>COUNTIFS(AntibodyDrugList!$I$3:$I$176,"*Alzheimer's disease*",AntibodyDrugList!K$3:K$176,"*Rheumatoid arthritis*")</f>
        <v>0</v>
      </c>
      <c r="AK24" s="9">
        <f>COUNTIFS(AntibodyDrugList!$I$3:$I$176,"*Alzheimer's disease*",AntibodyDrugList!K$3:K$176,"*Cell adhesion molecules*")</f>
        <v>1</v>
      </c>
      <c r="AL24" s="9">
        <f>COUNTIFS(AntibodyDrugList!$I$3:$I$176,"*Alzheimer's disease*",AntibodyDrugList!K$3:K$176,"*Focal adhesion*")</f>
        <v>0</v>
      </c>
      <c r="AM24" s="9">
        <f>COUNTIFS(AntibodyDrugList!$I$3:$I$176,"*Alzheimer's disease*",AntibodyDrugList!K$3:K$176,"*Jak-STAT signaling pathway*")</f>
        <v>0</v>
      </c>
      <c r="AN24" s="9">
        <f>COUNTIFS(AntibodyDrugList!$I$3:$I$176,"*Alzheimer's disease*",AntibodyDrugList!K$3:K$176,"*Pathways in cancer*")</f>
        <v>0</v>
      </c>
      <c r="AO24" s="9">
        <f>COUNTIFS(AntibodyDrugList!$I$3:$I$176,"*Alzheimer's disease*",AntibodyDrugList!K$3:K$176,"*ErbB signaling pathway*")</f>
        <v>0</v>
      </c>
      <c r="AP24" s="9">
        <f>COUNTIFS(AntibodyDrugList!$I$3:$I$176,"*Alzheimer's disease*",AntibodyDrugList!K$3:K$176,"*Apoptosis*")</f>
        <v>0</v>
      </c>
      <c r="AQ24" s="9">
        <f>COUNTIFS(AntibodyDrugList!$I$3:$I$176,"*Alzheimer's disease*",AntibodyDrugList!K$3:K$176,"*Calcium signaling pathway*")</f>
        <v>0</v>
      </c>
      <c r="AR24" s="9">
        <f>COUNTIFS(AntibodyDrugList!$I$3:$I$176,"*Alzheimer's disease*",AntibodyDrugList!K$3:K$176,"*T cell receptor signaling pathway*")</f>
        <v>0</v>
      </c>
      <c r="AS24" s="9">
        <f>COUNTIFS(AntibodyDrugList!$I$3:$I$176,"*Alzheimer's disease*",AntibodyDrugList!K$3:K$176,"*TGF-beta signaling pathway*")</f>
        <v>0</v>
      </c>
      <c r="AT24" s="9">
        <f>COUNTIFS(AntibodyDrugList!$I$3:$I$176,"*Alzheimer's disease*",AntibodyDrugList!K$3:K$176,"*VEGF signaling pathway*")</f>
        <v>0</v>
      </c>
      <c r="AU24" s="9">
        <f>COUNTIFS(AntibodyDrugList!$I$3:$I$176,"*Alzheimer's disease*",AntibodyDrugList!K$3:K$176,"*Adherens junction*")</f>
        <v>0</v>
      </c>
      <c r="AV24" s="9">
        <f>COUNTIFS(AntibodyDrugList!$I$3:$I$176,"*Alzheimer's disease*",AntibodyDrugList!K$3:K$176,"*Adipocytokine signaling pathway*")</f>
        <v>0</v>
      </c>
      <c r="AW24" s="9">
        <f>COUNTIFS(AntibodyDrugList!$I$3:$I$176,"*Alzheimer's disease*",AntibodyDrugList!K$3:K$176,"*Antigen processing and presentation*")</f>
        <v>0</v>
      </c>
      <c r="AX24" s="9">
        <f>COUNTIFS(AntibodyDrugList!$I$3:$I$176,"*Alzheimer's disease*",AntibodyDrugList!K$3:K$176,"*ECM-receptor interaction*")</f>
        <v>0</v>
      </c>
      <c r="AY24" s="9">
        <f>COUNTIFS(AntibodyDrugList!$I$3:$I$176,"*Alzheimer's disease*",AntibodyDrugList!K$3:K$176,"*NOD-like receptor signaling pathway*")</f>
        <v>0</v>
      </c>
      <c r="AZ24" s="9">
        <f>COUNTIFS(AntibodyDrugList!$I$3:$I$176,"*Alzheimer's disease*",AntibodyDrugList!K$3:K$176,"*Natural killer cell mediated cytotoxicity*")</f>
        <v>0</v>
      </c>
      <c r="BA24" s="3">
        <f>COUNTIFS(AntibodyDrugList!$I$3:$I$176,"*Alzheimer's disease*",AntibodyDrugList!K$3:K$176,"*Toll-like receptor signaling pathway*")</f>
        <v>0</v>
      </c>
      <c r="BB24" s="20">
        <f t="shared" si="0"/>
        <v>1</v>
      </c>
    </row>
    <row r="25" spans="19:54" ht="11.7" customHeight="1" x14ac:dyDescent="0.25">
      <c r="S25" s="105"/>
      <c r="T25" s="61" t="s">
        <v>393</v>
      </c>
      <c r="U25" s="58" t="s">
        <v>1274</v>
      </c>
      <c r="V25" s="59" t="s">
        <v>1275</v>
      </c>
      <c r="AD25" s="91"/>
      <c r="AE25" s="9" t="s">
        <v>98</v>
      </c>
      <c r="AF25" s="12"/>
      <c r="AG25" s="9">
        <f>COUNTIFS(AntibodyDrugList!$I$3:$I$176,"*Melanoma*",AntibodyDrugList!K$3:K$176,"*Cytokine-cytokine receptor interaction*")</f>
        <v>0</v>
      </c>
      <c r="AH25" s="9">
        <f>COUNTIFS(AntibodyDrugList!$I$3:$I$176,"*Melanoma*",AntibodyDrugList!K$3:K$176,"*Hematopoietic cell lineage*")</f>
        <v>1</v>
      </c>
      <c r="AI25" s="9">
        <f>COUNTIFS(AntibodyDrugList!$I$3:$I$176,"*Melanoma*",AntibodyDrugList!K$3:K$176,"*MAPK signaling pathway*")</f>
        <v>0</v>
      </c>
      <c r="AJ25" s="9">
        <f>COUNTIFS(AntibodyDrugList!$I$3:$I$176,"*Melanoma*",AntibodyDrugList!K$3:K$176,"*Rheumatoid arthritis*")</f>
        <v>0</v>
      </c>
      <c r="AK25" s="9">
        <f>COUNTIFS(AntibodyDrugList!$I$3:$I$176,"*Melanoma*",AntibodyDrugList!K$3:K$176,"*Cell adhesion molecules*")</f>
        <v>3</v>
      </c>
      <c r="AL25" s="9">
        <f>COUNTIFS(AntibodyDrugList!$I$3:$I$176,"*Melanoma*",AntibodyDrugList!K$3:K$176,"*Focal adhesion*")</f>
        <v>1</v>
      </c>
      <c r="AM25" s="9">
        <f>COUNTIFS(AntibodyDrugList!$I$3:$I$176,"*Melanoma*",AntibodyDrugList!K$3:K$176,"*Jak-STAT signaling pathway*")</f>
        <v>0</v>
      </c>
      <c r="AN25" s="9">
        <f>COUNTIFS(AntibodyDrugList!$I$3:$I$176,"*Melanoma*",AntibodyDrugList!K$3:K$176,"*Pathways in cancer*")</f>
        <v>0</v>
      </c>
      <c r="AO25" s="9">
        <f>COUNTIFS(AntibodyDrugList!$I$3:$I$176,"*Melanoma*",AntibodyDrugList!K$3:K$176,"*ErbB signaling pathway*")</f>
        <v>0</v>
      </c>
      <c r="AP25" s="9">
        <f>COUNTIFS(AntibodyDrugList!$I$3:$I$176,"*Melanoma*",AntibodyDrugList!K$3:K$176,"*Apoptosis*")</f>
        <v>0</v>
      </c>
      <c r="AQ25" s="9">
        <f>COUNTIFS(AntibodyDrugList!$I$3:$I$176,"*Melanoma*",AntibodyDrugList!K$3:K$176,"*Calcium signaling pathway*")</f>
        <v>0</v>
      </c>
      <c r="AR25" s="9">
        <f>COUNTIFS(AntibodyDrugList!$I$3:$I$176,"*Melanoma*",AntibodyDrugList!K$3:K$176,"*T cell receptor signaling pathway*")</f>
        <v>1</v>
      </c>
      <c r="AS25" s="9">
        <f>COUNTIFS(AntibodyDrugList!$I$3:$I$176,"*Melanoma*",AntibodyDrugList!K$3:K$176,"*TGF-beta signaling pathway*")</f>
        <v>0</v>
      </c>
      <c r="AT25" s="9">
        <f>COUNTIFS(AntibodyDrugList!$I$3:$I$176,"*Melanoma*",AntibodyDrugList!K$3:K$176,"*VEGF signaling pathway*")</f>
        <v>0</v>
      </c>
      <c r="AU25" s="9">
        <f>COUNTIFS(AntibodyDrugList!$I$3:$I$176,"*Melanoma*",AntibodyDrugList!K$3:K$176,"*Adherens junction*")</f>
        <v>0</v>
      </c>
      <c r="AV25" s="9">
        <f>COUNTIFS(AntibodyDrugList!$I$3:$I$176,"*Melanoma*",AntibodyDrugList!K$3:K$176,"*Adipocytokine signaling pathway*")</f>
        <v>0</v>
      </c>
      <c r="AW25" s="9">
        <f>COUNTIFS(AntibodyDrugList!$I$3:$I$176,"*Melanoma*",AntibodyDrugList!K$3:K$176,"*Antigen processing and presentation*")</f>
        <v>0</v>
      </c>
      <c r="AX25" s="9">
        <f>COUNTIFS(AntibodyDrugList!$I$3:$I$176,"*Melanoma*",AntibodyDrugList!K$3:K$176,"*ECM-receptor interaction*")</f>
        <v>1</v>
      </c>
      <c r="AY25" s="9">
        <f>COUNTIFS(AntibodyDrugList!$I$3:$I$176,"*Melanoma*",AntibodyDrugList!K$3:K$176,"*NOD-like receptor signaling pathway*")</f>
        <v>0</v>
      </c>
      <c r="AZ25" s="9">
        <f>COUNTIFS(AntibodyDrugList!$I$3:$I$176,"*Melanoma*",AntibodyDrugList!K$3:K$176,"*Natural killer cell mediated cytotoxicity*")</f>
        <v>0</v>
      </c>
      <c r="BA25" s="3">
        <f>COUNTIFS(AntibodyDrugList!$I$3:$I$176,"*Melanoma*",AntibodyDrugList!K$3:K$176,"*Toll-like receptor signaling pathway*")</f>
        <v>0</v>
      </c>
      <c r="BB25" s="20">
        <f t="shared" si="0"/>
        <v>7</v>
      </c>
    </row>
    <row r="26" spans="19:54" ht="11.7" customHeight="1" x14ac:dyDescent="0.25">
      <c r="S26" s="105"/>
      <c r="T26" s="61" t="s">
        <v>373</v>
      </c>
      <c r="U26" s="9" t="s">
        <v>49</v>
      </c>
      <c r="V26" s="11" t="s">
        <v>929</v>
      </c>
      <c r="AD26" s="91"/>
      <c r="AE26" s="9" t="s">
        <v>60</v>
      </c>
      <c r="AF26" s="12"/>
      <c r="AG26" s="9">
        <f>COUNTIFS(AntibodyDrugList!$I$3:$I$176,"*Malignant tumor*",AntibodyDrugList!K$3:K$176,"*Cytokine-cytokine receptor interaction*")</f>
        <v>1</v>
      </c>
      <c r="AH26" s="9">
        <f>COUNTIFS(AntibodyDrugList!$I$3:$I$176,"*Malignant tumor*",AntibodyDrugList!K$3:K$176,"*Hematopoietic cell lineage*")</f>
        <v>1</v>
      </c>
      <c r="AI26" s="9">
        <f>COUNTIFS(AntibodyDrugList!$I$3:$I$176,"*Malignant tumor*",AntibodyDrugList!K$3:K$176,"*MAPK signaling pathway*")</f>
        <v>0</v>
      </c>
      <c r="AJ26" s="9">
        <f>COUNTIFS(AntibodyDrugList!$I$3:$I$176,"*Malignant tumor*",AntibodyDrugList!K$3:K$176,"*Rheumatoid arthritis*")</f>
        <v>0</v>
      </c>
      <c r="AK26" s="9">
        <f>COUNTIFS(AntibodyDrugList!$I$3:$I$176,"*Malignant tumor*",AntibodyDrugList!K$3:K$176,"*Cell adhesion molecules*")</f>
        <v>0</v>
      </c>
      <c r="AL26" s="9">
        <f>COUNTIFS(AntibodyDrugList!$I$3:$I$176,"*Malignant tumor*",AntibodyDrugList!K$3:K$176,"*Focal adhesion*")</f>
        <v>1</v>
      </c>
      <c r="AM26" s="9">
        <f>COUNTIFS(AntibodyDrugList!$I$3:$I$176,"*Malignant tumor*",AntibodyDrugList!K$3:K$176,"*Jak-STAT signaling pathway*")</f>
        <v>0</v>
      </c>
      <c r="AN26" s="9">
        <f>COUNTIFS(AntibodyDrugList!$I$3:$I$176,"*Malignant tumor*",AntibodyDrugList!K$3:K$176,"*Pathways in cancer*")</f>
        <v>0</v>
      </c>
      <c r="AO26" s="9">
        <f>COUNTIFS(AntibodyDrugList!$I$3:$I$176,"*Malignant tumor*",AntibodyDrugList!K$3:K$176,"*ErbB signaling pathway*")</f>
        <v>0</v>
      </c>
      <c r="AP26" s="9">
        <f>COUNTIFS(AntibodyDrugList!$I$3:$I$176,"*Malignant tumor*",AntibodyDrugList!K$3:K$176,"*Apoptosis*")</f>
        <v>0</v>
      </c>
      <c r="AQ26" s="9">
        <f>COUNTIFS(AntibodyDrugList!$I$3:$I$176,"*Malignant tumor*",AntibodyDrugList!K$3:K$176,"*Calcium signaling pathway*")</f>
        <v>0</v>
      </c>
      <c r="AR26" s="9">
        <f>COUNTIFS(AntibodyDrugList!$I$3:$I$176,"*Malignant tumor*",AntibodyDrugList!K$3:K$176,"*T cell receptor signaling pathway*")</f>
        <v>0</v>
      </c>
      <c r="AS26" s="9">
        <f>COUNTIFS(AntibodyDrugList!$I$3:$I$176,"*Malignant tumor*",AntibodyDrugList!K$3:K$176,"*TGF-beta signaling pathway*")</f>
        <v>0</v>
      </c>
      <c r="AT26" s="9">
        <f>COUNTIFS(AntibodyDrugList!$I$3:$I$176,"*Malignant tumor*",AntibodyDrugList!K$3:K$176,"*VEGF signaling pathway*")</f>
        <v>1</v>
      </c>
      <c r="AU26" s="9">
        <f>COUNTIFS(AntibodyDrugList!$I$3:$I$176,"*Malignant tumor*",AntibodyDrugList!K$3:K$176,"*Adherens junction*")</f>
        <v>0</v>
      </c>
      <c r="AV26" s="9">
        <f>COUNTIFS(AntibodyDrugList!$I$3:$I$176,"*Malignant tumor*",AntibodyDrugList!K$3:K$176,"*Adipocytokine signaling pathway*")</f>
        <v>0</v>
      </c>
      <c r="AW26" s="9">
        <f>COUNTIFS(AntibodyDrugList!$I$3:$I$176,"*Malignant tumor*",AntibodyDrugList!K$3:K$176,"*Antigen processing and presentation*")</f>
        <v>0</v>
      </c>
      <c r="AX26" s="9">
        <f>COUNTIFS(AntibodyDrugList!$I$3:$I$176,"*Malignant tumor*",AntibodyDrugList!K$3:K$176,"*ECM-receptor interaction*")</f>
        <v>0</v>
      </c>
      <c r="AY26" s="9">
        <f>COUNTIFS(AntibodyDrugList!$I$3:$I$176,"*Malignant tumor*",AntibodyDrugList!K$3:K$176,"*NOD-like receptor signaling pathway*")</f>
        <v>0</v>
      </c>
      <c r="AZ26" s="9">
        <f>COUNTIFS(AntibodyDrugList!$I$3:$I$176,"*Malignant tumor*",AntibodyDrugList!K$3:K$176,"*Natural killer cell mediated cytotoxicity*")</f>
        <v>0</v>
      </c>
      <c r="BA26" s="3">
        <f>COUNTIFS(AntibodyDrugList!$I$3:$I$176,"*Malignant tumor*",AntibodyDrugList!K$3:K$176,"*Toll-like receptor signaling pathway*")</f>
        <v>0</v>
      </c>
      <c r="BB26" s="20">
        <f t="shared" si="0"/>
        <v>4</v>
      </c>
    </row>
    <row r="27" spans="19:54" ht="11.7" customHeight="1" x14ac:dyDescent="0.25">
      <c r="S27" s="105"/>
      <c r="T27" s="61" t="s">
        <v>357</v>
      </c>
      <c r="U27" s="9" t="s">
        <v>116</v>
      </c>
      <c r="V27" s="11" t="s">
        <v>434</v>
      </c>
      <c r="AD27" s="91"/>
      <c r="AE27" s="9" t="s">
        <v>224</v>
      </c>
      <c r="AF27" s="12"/>
      <c r="AG27" s="9">
        <f>COUNTIFS(AntibodyDrugList!$I$3:$I$176,"*Graft-versus-host disease*",AntibodyDrugList!K$3:K$176,"*Cytokine-cytokine receptor interaction*")</f>
        <v>0</v>
      </c>
      <c r="AH27" s="9">
        <f>COUNTIFS(AntibodyDrugList!$I$3:$I$176,"*Graft-versus-host disease*",AntibodyDrugList!K$3:K$176,"*Hematopoietic cell lineage*")</f>
        <v>0</v>
      </c>
      <c r="AI27" s="9">
        <f>COUNTIFS(AntibodyDrugList!$I$3:$I$176,"*Graft-versus-host disease*",AntibodyDrugList!K$3:K$176,"*MAPK signaling pathway*")</f>
        <v>0</v>
      </c>
      <c r="AJ27" s="9">
        <f>COUNTIFS(AntibodyDrugList!$I$3:$I$176,"*Graft-versus-host disease*",AntibodyDrugList!K$3:K$176,"*Rheumatoid arthritis*")</f>
        <v>1</v>
      </c>
      <c r="AK27" s="9">
        <f>COUNTIFS(AntibodyDrugList!$I$3:$I$176,"*Graft-versus-host disease*",AntibodyDrugList!K$3:K$176,"*Cell adhesion molecules*")</f>
        <v>1</v>
      </c>
      <c r="AL27" s="9">
        <f>COUNTIFS(AntibodyDrugList!$I$3:$I$176,"*Graft-versus-host disease*",AntibodyDrugList!K$3:K$176,"*Focal adhesion*")</f>
        <v>0</v>
      </c>
      <c r="AM27" s="9">
        <f>COUNTIFS(AntibodyDrugList!$I$3:$I$176,"*Graft-versus-host disease*",AntibodyDrugList!K$3:K$176,"*Jak-STAT signaling pathway*")</f>
        <v>0</v>
      </c>
      <c r="AN27" s="9">
        <f>COUNTIFS(AntibodyDrugList!$I$3:$I$176,"*Graft-versus-host disease*",AntibodyDrugList!K$3:K$176,"*Pathways in cancer*")</f>
        <v>0</v>
      </c>
      <c r="AO27" s="9">
        <f>COUNTIFS(AntibodyDrugList!$I$3:$I$176,"*Graft-versus-host disease*",AntibodyDrugList!K$3:K$176,"*ErbB signaling pathway*")</f>
        <v>0</v>
      </c>
      <c r="AP27" s="9">
        <f>COUNTIFS(AntibodyDrugList!$I$3:$I$176,"*Graft-versus-host disease*",AntibodyDrugList!K$3:K$176,"*Apoptosis*")</f>
        <v>0</v>
      </c>
      <c r="AQ27" s="9">
        <f>COUNTIFS(AntibodyDrugList!$I$3:$I$176,"*Graft-versus-host disease*",AntibodyDrugList!K$3:K$176,"*Calcium signaling pathway*")</f>
        <v>0</v>
      </c>
      <c r="AR27" s="9">
        <f>COUNTIFS(AntibodyDrugList!$I$3:$I$176,"*Graft-versus-host disease*",AntibodyDrugList!K$3:K$176,"*T cell receptor signaling pathway*")</f>
        <v>1</v>
      </c>
      <c r="AS27" s="9">
        <f>COUNTIFS(AntibodyDrugList!$I$3:$I$176,"*Graft-versus-host disease*",AntibodyDrugList!K$3:K$176,"*TGF-beta signaling pathway*")</f>
        <v>0</v>
      </c>
      <c r="AT27" s="9">
        <f>COUNTIFS(AntibodyDrugList!$I$3:$I$176,"*Graft-versus-host disease*",AntibodyDrugList!K$3:K$176,"*VEGF signaling pathway*")</f>
        <v>0</v>
      </c>
      <c r="AU27" s="9">
        <f>COUNTIFS(AntibodyDrugList!$I$3:$I$176,"*Graft-versus-host disease*",AntibodyDrugList!K$3:K$176,"*Adherens junction*")</f>
        <v>0</v>
      </c>
      <c r="AV27" s="9">
        <f>COUNTIFS(AntibodyDrugList!$I$3:$I$176,"*Graft-versus-host disease*",AntibodyDrugList!K$3:K$176,"*Adipocytokine signaling pathway*")</f>
        <v>0</v>
      </c>
      <c r="AW27" s="9">
        <f>COUNTIFS(AntibodyDrugList!$I$3:$I$176,"*Graft-versus-host disease*",AntibodyDrugList!K$3:K$176,"*Antigen processing and presentation*")</f>
        <v>0</v>
      </c>
      <c r="AX27" s="9">
        <f>COUNTIFS(AntibodyDrugList!$I$3:$I$176,"*Graft-versus-host disease*",AntibodyDrugList!K$3:K$176,"*ECM-receptor interaction*")</f>
        <v>0</v>
      </c>
      <c r="AY27" s="9">
        <f>COUNTIFS(AntibodyDrugList!$I$3:$I$176,"*Graft-versus-host disease*",AntibodyDrugList!K$3:K$176,"*NOD-like receptor signaling pathway*")</f>
        <v>0</v>
      </c>
      <c r="AZ27" s="9">
        <f>COUNTIFS(AntibodyDrugList!$I$3:$I$176,"*Graft-versus-host disease*",AntibodyDrugList!K$3:K$176,"*Natural killer cell mediated cytotoxicity*")</f>
        <v>0</v>
      </c>
      <c r="BA27" s="3">
        <f>COUNTIFS(AntibodyDrugList!$I$3:$I$176,"*Graft-versus-host disease*",AntibodyDrugList!K$3:K$176,"*Toll-like receptor signaling pathway*")</f>
        <v>0</v>
      </c>
      <c r="BB27" s="20">
        <f t="shared" si="0"/>
        <v>3</v>
      </c>
    </row>
    <row r="28" spans="19:54" ht="11.7" customHeight="1" x14ac:dyDescent="0.25">
      <c r="S28" s="105"/>
      <c r="T28" s="61" t="s">
        <v>372</v>
      </c>
      <c r="U28" s="9" t="s">
        <v>56</v>
      </c>
      <c r="V28" s="11" t="s">
        <v>924</v>
      </c>
      <c r="AD28" s="91"/>
      <c r="AE28" s="9" t="s">
        <v>225</v>
      </c>
      <c r="AF28" s="12"/>
      <c r="AG28" s="9">
        <f>COUNTIFS(AntibodyDrugList!$I$3:$I$176,"*Hodgkin's lymphoma*",AntibodyDrugList!K$3:K$176,"*Cytokine-cytokine receptor interaction*")</f>
        <v>0</v>
      </c>
      <c r="AH28" s="9">
        <f>COUNTIFS(AntibodyDrugList!$I$3:$I$176,"*Hodgkin's lymphoma*",AntibodyDrugList!K$3:K$176,"*Hematopoietic cell lineage*")</f>
        <v>2</v>
      </c>
      <c r="AI28" s="9">
        <f>COUNTIFS(AntibodyDrugList!$I$3:$I$176,"*Hodgkin's lymphoma*",AntibodyDrugList!K$3:K$176,"*MAPK signaling pathway*")</f>
        <v>0</v>
      </c>
      <c r="AJ28" s="9">
        <f>COUNTIFS(AntibodyDrugList!$I$3:$I$176,"*Hodgkin's lymphoma*",AntibodyDrugList!K$3:K$176,"*Rheumatoid arthritis*")</f>
        <v>0</v>
      </c>
      <c r="AK28" s="9">
        <f>COUNTIFS(AntibodyDrugList!$I$3:$I$176,"*Hodgkin's lymphoma*",AntibodyDrugList!K$3:K$176,"*Cell adhesion molecules*")</f>
        <v>0</v>
      </c>
      <c r="AL28" s="9">
        <f>COUNTIFS(AntibodyDrugList!$I$3:$I$176,"*Hodgkin's lymphoma*",AntibodyDrugList!K$3:K$176,"*Focal adhesion*")</f>
        <v>0</v>
      </c>
      <c r="AM28" s="9">
        <f>COUNTIFS(AntibodyDrugList!$I$3:$I$176,"*Hodgkin's lymphoma*",AntibodyDrugList!K$3:K$176,"*Jak-STAT signaling pathway*")</f>
        <v>0</v>
      </c>
      <c r="AN28" s="9">
        <f>COUNTIFS(AntibodyDrugList!$I$3:$I$176,"*Hodgkin's lymphoma*",AntibodyDrugList!K$3:K$176,"*Pathways in cancer*")</f>
        <v>0</v>
      </c>
      <c r="AO28" s="9">
        <f>COUNTIFS(AntibodyDrugList!$I$3:$I$176,"*Hodgkin's lymphoma*",AntibodyDrugList!K$3:K$176,"*ErbB signaling pathway*")</f>
        <v>0</v>
      </c>
      <c r="AP28" s="9">
        <f>COUNTIFS(AntibodyDrugList!$I$3:$I$176,"*Hodgkin's lymphoma*",AntibodyDrugList!K$3:K$176,"*Apoptosis*")</f>
        <v>0</v>
      </c>
      <c r="AQ28" s="9">
        <f>COUNTIFS(AntibodyDrugList!$I$3:$I$176,"*Hodgkin's lymphoma*",AntibodyDrugList!K$3:K$176,"*Calcium signaling pathway*")</f>
        <v>0</v>
      </c>
      <c r="AR28" s="9">
        <f>COUNTIFS(AntibodyDrugList!$I$3:$I$176,"*Hodgkin's lymphoma*",AntibodyDrugList!K$3:K$176,"*T cell receptor signaling pathway*")</f>
        <v>0</v>
      </c>
      <c r="AS28" s="9">
        <f>COUNTIFS(AntibodyDrugList!$I$3:$I$176,"*Hodgkin's lymphoma*",AntibodyDrugList!K$3:K$176,"*TGF-beta signaling pathway*")</f>
        <v>0</v>
      </c>
      <c r="AT28" s="9">
        <f>COUNTIFS(AntibodyDrugList!$I$3:$I$176,"*Hodgkin's lymphoma*",AntibodyDrugList!K$3:K$176,"*VEGF signaling pathway*")</f>
        <v>0</v>
      </c>
      <c r="AU28" s="9">
        <f>COUNTIFS(AntibodyDrugList!$I$3:$I$176,"*Hodgkin's lymphoma*",AntibodyDrugList!K$3:K$176,"*Adherens junction*")</f>
        <v>0</v>
      </c>
      <c r="AV28" s="9">
        <f>COUNTIFS(AntibodyDrugList!$I$3:$I$176,"*Hodgkin's lymphoma*",AntibodyDrugList!K$3:K$176,"*Adipocytokine signaling pathway*")</f>
        <v>0</v>
      </c>
      <c r="AW28" s="9">
        <f>COUNTIFS(AntibodyDrugList!$I$3:$I$176,"*Hodgkin's lymphoma*",AntibodyDrugList!K$3:K$176,"*Antigen processing and presentation*")</f>
        <v>0</v>
      </c>
      <c r="AX28" s="9">
        <f>COUNTIFS(AntibodyDrugList!$I$3:$I$176,"*Hodgkin's lymphoma*",AntibodyDrugList!K$3:K$176,"*ECM-receptor interaction*")</f>
        <v>0</v>
      </c>
      <c r="AY28" s="9">
        <f>COUNTIFS(AntibodyDrugList!$I$3:$I$176,"*Hodgkin's lymphoma*",AntibodyDrugList!K$3:K$176,"*NOD-like receptor signaling pathway*")</f>
        <v>0</v>
      </c>
      <c r="AZ28" s="9">
        <f>COUNTIFS(AntibodyDrugList!$I$3:$I$176,"*Hodgkin's lymphoma*",AntibodyDrugList!K$3:K$176,"*Natural killer cell mediated cytotoxicity*")</f>
        <v>0</v>
      </c>
      <c r="BA28" s="3">
        <f>COUNTIFS(AntibodyDrugList!$I$3:$I$176,"*Hodgkin's lymphoma*",AntibodyDrugList!K$3:K$176,"*Toll-like receptor signaling pathway*")</f>
        <v>0</v>
      </c>
      <c r="BB28" s="20">
        <f t="shared" si="0"/>
        <v>2</v>
      </c>
    </row>
    <row r="29" spans="19:54" ht="11.7" customHeight="1" x14ac:dyDescent="0.25">
      <c r="S29" s="105"/>
      <c r="T29" s="61" t="s">
        <v>372</v>
      </c>
      <c r="U29" s="58" t="s">
        <v>1276</v>
      </c>
      <c r="V29" s="59" t="s">
        <v>1277</v>
      </c>
      <c r="AD29" s="91"/>
      <c r="AE29" s="9" t="s">
        <v>137</v>
      </c>
      <c r="AF29" s="12"/>
      <c r="AG29" s="9">
        <f>COUNTIFS(AntibodyDrugList!$I$3:$I$176,"*Multiple myeloma*",AntibodyDrugList!K$3:K$176,"*Cytokine-cytokine receptor interaction*")</f>
        <v>2</v>
      </c>
      <c r="AH29" s="9">
        <f>COUNTIFS(AntibodyDrugList!$I$3:$I$176,"*Multiple myeloma*",AntibodyDrugList!K$3:K$176,"*Hematopoietic cell lineage*")</f>
        <v>1</v>
      </c>
      <c r="AI29" s="9">
        <f>COUNTIFS(AntibodyDrugList!$I$3:$I$176,"*Multiple myeloma*",AntibodyDrugList!K$3:K$176,"*MAPK signaling pathway*")</f>
        <v>0</v>
      </c>
      <c r="AJ29" s="9">
        <f>COUNTIFS(AntibodyDrugList!$I$3:$I$176,"*Multiple myeloma*",AntibodyDrugList!K$3:K$176,"*Rheumatoid arthritis*")</f>
        <v>0</v>
      </c>
      <c r="AK29" s="9">
        <f>COUNTIFS(AntibodyDrugList!$I$3:$I$176,"*Multiple myeloma*",AntibodyDrugList!K$3:K$176,"*Cell adhesion molecules*")</f>
        <v>1</v>
      </c>
      <c r="AL29" s="9">
        <f>COUNTIFS(AntibodyDrugList!$I$3:$I$176,"*Multiple myeloma*",AntibodyDrugList!K$3:K$176,"*Focal adhesion*")</f>
        <v>0</v>
      </c>
      <c r="AM29" s="9">
        <f>COUNTIFS(AntibodyDrugList!$I$3:$I$176,"*Multiple myeloma*",AntibodyDrugList!K$3:K$176,"*Jak-STAT signaling pathway*")</f>
        <v>1</v>
      </c>
      <c r="AN29" s="9">
        <f>COUNTIFS(AntibodyDrugList!$I$3:$I$176,"*Multiple myeloma*",AntibodyDrugList!K$3:K$176,"*Pathways in cancer*")</f>
        <v>0</v>
      </c>
      <c r="AO29" s="9">
        <f>COUNTIFS(AntibodyDrugList!$I$3:$I$176,"*Multiple myeloma*",AntibodyDrugList!K$3:K$176,"*ErbB signaling pathway*")</f>
        <v>0</v>
      </c>
      <c r="AP29" s="9">
        <f>COUNTIFS(AntibodyDrugList!$I$3:$I$176,"*Multiple myeloma*",AntibodyDrugList!K$3:K$176,"*Apoptosis*")</f>
        <v>1</v>
      </c>
      <c r="AQ29" s="9">
        <f>COUNTIFS(AntibodyDrugList!$I$3:$I$176,"*Multiple myeloma*",AntibodyDrugList!K$3:K$176,"*Calcium signaling pathway*")</f>
        <v>0</v>
      </c>
      <c r="AR29" s="9">
        <f>COUNTIFS(AntibodyDrugList!$I$3:$I$176,"*Multiple myeloma*",AntibodyDrugList!K$3:K$176,"*T cell receptor signaling pathway*")</f>
        <v>0</v>
      </c>
      <c r="AS29" s="9">
        <f>COUNTIFS(AntibodyDrugList!$I$3:$I$176,"*Multiple myeloma*",AntibodyDrugList!K$3:K$176,"*TGF-beta signaling pathway*")</f>
        <v>0</v>
      </c>
      <c r="AT29" s="9">
        <f>COUNTIFS(AntibodyDrugList!$I$3:$I$176,"*Multiple myeloma*",AntibodyDrugList!K$3:K$176,"*VEGF signaling pathway*")</f>
        <v>0</v>
      </c>
      <c r="AU29" s="9">
        <f>COUNTIFS(AntibodyDrugList!$I$3:$I$176,"*Multiple myeloma*",AntibodyDrugList!K$3:K$176,"*Adherens junction*")</f>
        <v>0</v>
      </c>
      <c r="AV29" s="9">
        <f>COUNTIFS(AntibodyDrugList!$I$3:$I$176,"*Multiple myeloma*",AntibodyDrugList!K$3:K$176,"*Adipocytokine signaling pathway*")</f>
        <v>0</v>
      </c>
      <c r="AW29" s="9">
        <f>COUNTIFS(AntibodyDrugList!$I$3:$I$176,"*Multiple myeloma*",AntibodyDrugList!K$3:K$176,"*Antigen processing and presentation*")</f>
        <v>1</v>
      </c>
      <c r="AX29" s="9">
        <f>COUNTIFS(AntibodyDrugList!$I$3:$I$176,"*Multiple myeloma*",AntibodyDrugList!K$3:K$176,"*ECM-receptor interaction*")</f>
        <v>0</v>
      </c>
      <c r="AY29" s="9">
        <f>COUNTIFS(AntibodyDrugList!$I$3:$I$176,"*Multiple myeloma*",AntibodyDrugList!K$3:K$176,"*NOD-like receptor signaling pathway*")</f>
        <v>0</v>
      </c>
      <c r="AZ29" s="9">
        <f>COUNTIFS(AntibodyDrugList!$I$3:$I$176,"*Multiple myeloma*",AntibodyDrugList!K$3:K$176,"*Natural killer cell mediated cytotoxicity*")</f>
        <v>0</v>
      </c>
      <c r="BA29" s="3">
        <f>COUNTIFS(AntibodyDrugList!$I$3:$I$176,"*Multiple myeloma*",AntibodyDrugList!K$3:K$176,"*Toll-like receptor signaling pathway*")</f>
        <v>0</v>
      </c>
      <c r="BB29" s="20">
        <f t="shared" si="0"/>
        <v>7</v>
      </c>
    </row>
    <row r="30" spans="19:54" ht="11.7" customHeight="1" x14ac:dyDescent="0.25">
      <c r="S30" s="105"/>
      <c r="T30" s="61" t="s">
        <v>378</v>
      </c>
      <c r="U30" s="58" t="s">
        <v>1278</v>
      </c>
      <c r="V30" s="59" t="s">
        <v>1279</v>
      </c>
      <c r="AD30" s="91"/>
      <c r="AE30" s="9" t="s">
        <v>402</v>
      </c>
      <c r="AF30" s="12"/>
      <c r="AG30" s="9">
        <f>COUNTIFS(AntibodyDrugList!$I$3:$I$176,"*Leukemia*",AntibodyDrugList!K$3:K$176,"*Cytokine-cytokine receptor interaction*")</f>
        <v>0</v>
      </c>
      <c r="AH30" s="9">
        <f>COUNTIFS(AntibodyDrugList!$I$3:$I$176,"*Leukemia*",AntibodyDrugList!K$3:K$176,"*Hematopoietic cell lineage*")</f>
        <v>2</v>
      </c>
      <c r="AI30" s="9">
        <f>COUNTIFS(AntibodyDrugList!$I$3:$I$176,"*Leukemia*",AntibodyDrugList!K$3:K$176,"*MAPK signaling pathway*")</f>
        <v>0</v>
      </c>
      <c r="AJ30" s="9">
        <f>COUNTIFS(AntibodyDrugList!$I$3:$I$176,"*Leukemia*",AntibodyDrugList!K$3:K$176,"*Rheumatoid arthritis*")</f>
        <v>0</v>
      </c>
      <c r="AK30" s="9">
        <f>COUNTIFS(AntibodyDrugList!$I$3:$I$176,"*Leukemia*",AntibodyDrugList!K$3:K$176,"*Cell adhesion molecules*")</f>
        <v>0</v>
      </c>
      <c r="AL30" s="9">
        <f>COUNTIFS(AntibodyDrugList!$I$3:$I$176,"*Leukemia*",AntibodyDrugList!K$3:K$176,"*Focal adhesion*")</f>
        <v>0</v>
      </c>
      <c r="AM30" s="9">
        <f>COUNTIFS(AntibodyDrugList!$I$3:$I$176,"*Leukemia*",AntibodyDrugList!K$3:K$176,"*Jak-STAT signaling pathway*")</f>
        <v>0</v>
      </c>
      <c r="AN30" s="9">
        <f>COUNTIFS(AntibodyDrugList!$I$3:$I$176,"*Leukemia*",AntibodyDrugList!K$3:K$176,"*Pathways in cancer*")</f>
        <v>0</v>
      </c>
      <c r="AO30" s="9">
        <f>COUNTIFS(AntibodyDrugList!$I$3:$I$176,"*Leukemia*",AntibodyDrugList!K$3:K$176,"*ErbB signaling pathway*")</f>
        <v>0</v>
      </c>
      <c r="AP30" s="9">
        <f>COUNTIFS(AntibodyDrugList!$I$3:$I$176,"*Leukemia*",AntibodyDrugList!K$3:K$176,"*Apoptosis*")</f>
        <v>0</v>
      </c>
      <c r="AQ30" s="9">
        <f>COUNTIFS(AntibodyDrugList!$I$3:$I$176,"*Leukemia*",AntibodyDrugList!K$3:K$176,"*Calcium signaling pathway*")</f>
        <v>0</v>
      </c>
      <c r="AR30" s="9">
        <f>COUNTIFS(AntibodyDrugList!$I$3:$I$176,"*Leukemia*",AntibodyDrugList!K$3:K$176,"*T cell receptor signaling pathway*")</f>
        <v>0</v>
      </c>
      <c r="AS30" s="9">
        <f>COUNTIFS(AntibodyDrugList!$I$3:$I$176,"*Leukemia*",AntibodyDrugList!K$3:K$176,"*TGF-beta signaling pathway*")</f>
        <v>0</v>
      </c>
      <c r="AT30" s="9">
        <f>COUNTIFS(AntibodyDrugList!$I$3:$I$176,"*Leukemia*",AntibodyDrugList!K$3:K$176,"*VEGF signaling pathway*")</f>
        <v>0</v>
      </c>
      <c r="AU30" s="9">
        <f>COUNTIFS(AntibodyDrugList!$I$3:$I$176,"*Leukemia*",AntibodyDrugList!K$3:K$176,"*Adherens junction*")</f>
        <v>0</v>
      </c>
      <c r="AV30" s="9">
        <f>COUNTIFS(AntibodyDrugList!$I$3:$I$176,"*Leukemia*",AntibodyDrugList!K$3:K$176,"*Adipocytokine signaling pathway*")</f>
        <v>0</v>
      </c>
      <c r="AW30" s="9">
        <f>COUNTIFS(AntibodyDrugList!$I$3:$I$176,"*Leukemia*",AntibodyDrugList!K$3:K$176,"*Antigen processing and presentation*")</f>
        <v>0</v>
      </c>
      <c r="AX30" s="9">
        <f>COUNTIFS(AntibodyDrugList!$I$3:$I$176,"*Leukemia*",AntibodyDrugList!K$3:K$176,"*ECM-receptor interaction*")</f>
        <v>0</v>
      </c>
      <c r="AY30" s="9">
        <f>COUNTIFS(AntibodyDrugList!$I$3:$I$176,"*Leukemia*",AntibodyDrugList!K$3:K$176,"*NOD-like receptor signaling pathway*")</f>
        <v>0</v>
      </c>
      <c r="AZ30" s="9">
        <f>COUNTIFS(AntibodyDrugList!$I$3:$I$176,"*Leukemia*",AntibodyDrugList!K$3:K$176,"*Natural killer cell mediated cytotoxicity*")</f>
        <v>0</v>
      </c>
      <c r="BA30" s="3">
        <f>COUNTIFS(AntibodyDrugList!$I$3:$I$176,"*Leukemia*",AntibodyDrugList!K$3:K$176,"*Toll-like receptor signaling pathway*")</f>
        <v>0</v>
      </c>
      <c r="BB30" s="20">
        <f t="shared" si="0"/>
        <v>2</v>
      </c>
    </row>
    <row r="31" spans="19:54" ht="11.7" customHeight="1" x14ac:dyDescent="0.25">
      <c r="S31" s="105"/>
      <c r="T31" s="61" t="s">
        <v>346</v>
      </c>
      <c r="U31" s="9" t="s">
        <v>45</v>
      </c>
      <c r="V31" s="11" t="s">
        <v>872</v>
      </c>
      <c r="AD31" s="91"/>
      <c r="AE31" s="9" t="s">
        <v>226</v>
      </c>
      <c r="AF31" s="12"/>
      <c r="AG31" s="9">
        <f>COUNTIFS(AntibodyDrugList!$I$3:$I$176,"*Psoriasis*",AntibodyDrugList!K$3:K$176,"*Cytokine-cytokine receptor interaction*")</f>
        <v>8</v>
      </c>
      <c r="AH31" s="9">
        <f>COUNTIFS(AntibodyDrugList!$I$3:$I$176,"*Psoriasis*",AntibodyDrugList!K$3:K$176,"*Hematopoietic cell lineage*")</f>
        <v>0</v>
      </c>
      <c r="AI31" s="9">
        <f>COUNTIFS(AntibodyDrugList!$I$3:$I$176,"*Psoriasis*",AntibodyDrugList!K$3:K$176,"*MAPK signaling pathway*")</f>
        <v>6</v>
      </c>
      <c r="AJ31" s="9">
        <f>COUNTIFS(AntibodyDrugList!$I$3:$I$176,"*Psoriasis*",AntibodyDrugList!K$3:K$176,"*Rheumatoid arthritis*")</f>
        <v>7</v>
      </c>
      <c r="AK31" s="9">
        <f>COUNTIFS(AntibodyDrugList!$I$3:$I$176,"*Psoriasis*",AntibodyDrugList!K$3:K$176,"*Cell adhesion molecules*")</f>
        <v>0</v>
      </c>
      <c r="AL31" s="9">
        <f>COUNTIFS(AntibodyDrugList!$I$3:$I$176,"*Psoriasis*",AntibodyDrugList!K$3:K$176,"*Focal adhesion*")</f>
        <v>0</v>
      </c>
      <c r="AM31" s="9">
        <f>COUNTIFS(AntibodyDrugList!$I$3:$I$176,"*Psoriasis*",AntibodyDrugList!K$3:K$176,"*Jak-STAT signaling pathway*")</f>
        <v>1</v>
      </c>
      <c r="AN31" s="9">
        <f>COUNTIFS(AntibodyDrugList!$I$3:$I$176,"*Psoriasis*",AntibodyDrugList!K$3:K$176,"*Pathways in cancer*")</f>
        <v>0</v>
      </c>
      <c r="AO31" s="9">
        <f>COUNTIFS(AntibodyDrugList!$I$3:$I$176,"*Psoriasis*",AntibodyDrugList!K$3:K$176,"*ErbB signaling pathway*")</f>
        <v>0</v>
      </c>
      <c r="AP31" s="9">
        <f>COUNTIFS(AntibodyDrugList!$I$3:$I$176,"*Psoriasis*",AntibodyDrugList!K$3:K$176,"*Apoptosis*")</f>
        <v>6</v>
      </c>
      <c r="AQ31" s="9">
        <f>COUNTIFS(AntibodyDrugList!$I$3:$I$176,"*Psoriasis*",AntibodyDrugList!K$3:K$176,"*Calcium signaling pathway*")</f>
        <v>0</v>
      </c>
      <c r="AR31" s="9">
        <f>COUNTIFS(AntibodyDrugList!$I$3:$I$176,"*Psoriasis*",AntibodyDrugList!K$3:K$176,"*T cell receptor signaling pathway*")</f>
        <v>1</v>
      </c>
      <c r="AS31" s="9">
        <f>COUNTIFS(AntibodyDrugList!$I$3:$I$176,"*Psoriasis*",AntibodyDrugList!K$3:K$176,"*TGF-beta signaling pathway*")</f>
        <v>6</v>
      </c>
      <c r="AT31" s="9">
        <f>COUNTIFS(AntibodyDrugList!$I$3:$I$176,"*Psoriasis*",AntibodyDrugList!K$3:K$176,"*VEGF signaling pathway*")</f>
        <v>0</v>
      </c>
      <c r="AU31" s="9">
        <f>COUNTIFS(AntibodyDrugList!$I$3:$I$176,"*Psoriasis*",AntibodyDrugList!K$3:K$176,"*Adherens junction*")</f>
        <v>0</v>
      </c>
      <c r="AV31" s="9">
        <f>COUNTIFS(AntibodyDrugList!$I$3:$I$176,"*Psoriasis*",AntibodyDrugList!K$3:K$176,"*Adipocytokine signaling pathway*")</f>
        <v>4</v>
      </c>
      <c r="AW31" s="9">
        <f>COUNTIFS(AntibodyDrugList!$I$3:$I$176,"*Psoriasis*",AntibodyDrugList!K$3:K$176,"*Antigen processing and presentation*")</f>
        <v>6</v>
      </c>
      <c r="AX31" s="9">
        <f>COUNTIFS(AntibodyDrugList!$I$3:$I$176,"*Psoriasis*",AntibodyDrugList!K$3:K$176,"*ECM-receptor interaction*")</f>
        <v>0</v>
      </c>
      <c r="AY31" s="9">
        <f>COUNTIFS(AntibodyDrugList!$I$3:$I$176,"*Psoriasis*",AntibodyDrugList!K$3:K$176,"*NOD-like receptor signaling pathway*")</f>
        <v>0</v>
      </c>
      <c r="AZ31" s="9">
        <f>COUNTIFS(AntibodyDrugList!$I$3:$I$176,"*Psoriasis*",AntibodyDrugList!K$3:K$176,"*Natural killer cell mediated cytotoxicity*")</f>
        <v>2</v>
      </c>
      <c r="BA31" s="3">
        <f>COUNTIFS(AntibodyDrugList!$I$3:$I$176,"*Psoriasis*",AntibodyDrugList!K$3:K$176,"*Toll-like receptor signaling pathway*")</f>
        <v>0</v>
      </c>
      <c r="BB31" s="20">
        <f t="shared" si="0"/>
        <v>47</v>
      </c>
    </row>
    <row r="32" spans="19:54" ht="11.7" customHeight="1" x14ac:dyDescent="0.25">
      <c r="S32" s="105"/>
      <c r="T32" s="61" t="s">
        <v>380</v>
      </c>
      <c r="U32" s="58" t="s">
        <v>1280</v>
      </c>
      <c r="V32" s="59" t="s">
        <v>1281</v>
      </c>
      <c r="AD32" s="91"/>
      <c r="AE32" s="9" t="s">
        <v>403</v>
      </c>
      <c r="AF32" s="12"/>
      <c r="AG32" s="9">
        <f>COUNTIFS(AntibodyDrugList!$I$3:$I$176,"*Sclerosis*",AntibodyDrugList!K$3:K$176,"*Cytokine-cytokine receptor interaction*")</f>
        <v>0</v>
      </c>
      <c r="AH32" s="9">
        <f>COUNTIFS(AntibodyDrugList!$I$3:$I$176,"*Sclerosis*",AntibodyDrugList!K$3:K$176,"*Hematopoietic cell lineage*")</f>
        <v>1</v>
      </c>
      <c r="AI32" s="9">
        <f>COUNTIFS(AntibodyDrugList!$I$3:$I$176,"*Sclerosis*",AntibodyDrugList!K$3:K$176,"*MAPK signaling pathway*")</f>
        <v>0</v>
      </c>
      <c r="AJ32" s="9">
        <f>COUNTIFS(AntibodyDrugList!$I$3:$I$176,"*Sclerosis*",AntibodyDrugList!K$3:K$176,"*Rheumatoid arthritis*")</f>
        <v>0</v>
      </c>
      <c r="AK32" s="9">
        <f>COUNTIFS(AntibodyDrugList!$I$3:$I$176,"*Sclerosis*",AntibodyDrugList!K$3:K$176,"*Cell adhesion molecules*")</f>
        <v>0</v>
      </c>
      <c r="AL32" s="9">
        <f>COUNTIFS(AntibodyDrugList!$I$3:$I$176,"*Sclerosis*",AntibodyDrugList!K$3:K$176,"*Focal adhesion*")</f>
        <v>0</v>
      </c>
      <c r="AM32" s="9">
        <f>COUNTIFS(AntibodyDrugList!$I$3:$I$176,"*Sclerosis*",AntibodyDrugList!K$3:K$176,"*Jak-STAT signaling pathway*")</f>
        <v>0</v>
      </c>
      <c r="AN32" s="9">
        <f>COUNTIFS(AntibodyDrugList!$I$3:$I$176,"*Sclerosis*",AntibodyDrugList!K$3:K$176,"*Pathways in cancer*")</f>
        <v>0</v>
      </c>
      <c r="AO32" s="9">
        <f>COUNTIFS(AntibodyDrugList!$I$3:$I$176,"*Sclerosis*",AntibodyDrugList!K$3:K$176,"*ErbB signaling pathway*")</f>
        <v>0</v>
      </c>
      <c r="AP32" s="9">
        <f>COUNTIFS(AntibodyDrugList!$I$3:$I$176,"*Sclerosis*",AntibodyDrugList!K$3:K$176,"*Apoptosis*")</f>
        <v>0</v>
      </c>
      <c r="AQ32" s="9">
        <f>COUNTIFS(AntibodyDrugList!$I$3:$I$176,"*Sclerosis*",AntibodyDrugList!K$3:K$176,"*Calcium signaling pathway*")</f>
        <v>0</v>
      </c>
      <c r="AR32" s="9">
        <f>COUNTIFS(AntibodyDrugList!$I$3:$I$176,"*Sclerosis*",AntibodyDrugList!K$3:K$176,"*T cell receptor signaling pathway*")</f>
        <v>0</v>
      </c>
      <c r="AS32" s="9">
        <f>COUNTIFS(AntibodyDrugList!$I$3:$I$176,"*Sclerosis*",AntibodyDrugList!K$3:K$176,"*TGF-beta signaling pathway*")</f>
        <v>0</v>
      </c>
      <c r="AT32" s="9">
        <f>COUNTIFS(AntibodyDrugList!$I$3:$I$176,"*Sclerosis*",AntibodyDrugList!K$3:K$176,"*VEGF signaling pathway*")</f>
        <v>0</v>
      </c>
      <c r="AU32" s="9">
        <f>COUNTIFS(AntibodyDrugList!$I$3:$I$176,"*Sclerosis*",AntibodyDrugList!K$3:K$176,"*Adherens junction*")</f>
        <v>0</v>
      </c>
      <c r="AV32" s="9">
        <f>COUNTIFS(AntibodyDrugList!$I$3:$I$176,"*Sclerosis*",AntibodyDrugList!K$3:K$176,"*Adipocytokine signaling pathway*")</f>
        <v>0</v>
      </c>
      <c r="AW32" s="9">
        <f>COUNTIFS(AntibodyDrugList!$I$3:$I$176,"*Sclerosis*",AntibodyDrugList!K$3:K$176,"*Antigen processing and presentation*")</f>
        <v>0</v>
      </c>
      <c r="AX32" s="9">
        <f>COUNTIFS(AntibodyDrugList!$I$3:$I$176,"*Sclerosis*",AntibodyDrugList!K$3:K$176,"*ECM-receptor interaction*")</f>
        <v>0</v>
      </c>
      <c r="AY32" s="9">
        <f>COUNTIFS(AntibodyDrugList!$I$3:$I$176,"*Sclerosis*",AntibodyDrugList!K$3:K$176,"*NOD-like receptor signaling pathway*")</f>
        <v>0</v>
      </c>
      <c r="AZ32" s="9">
        <f>COUNTIFS(AntibodyDrugList!$I$3:$I$176,"*Sclerosis*",AntibodyDrugList!K$3:K$176,"*Natural killer cell mediated cytotoxicity*")</f>
        <v>0</v>
      </c>
      <c r="BA32" s="3">
        <f>COUNTIFS(AntibodyDrugList!$I$3:$I$176,"*Sclerosis*",AntibodyDrugList!K$3:K$176,"*Toll-like receptor signaling pathway*")</f>
        <v>0</v>
      </c>
      <c r="BB32" s="20">
        <f t="shared" si="0"/>
        <v>1</v>
      </c>
    </row>
    <row r="33" spans="19:54" ht="11.7" customHeight="1" x14ac:dyDescent="0.25">
      <c r="S33" s="105"/>
      <c r="T33" s="61" t="s">
        <v>371</v>
      </c>
      <c r="U33" s="9" t="s">
        <v>714</v>
      </c>
      <c r="V33" s="11"/>
      <c r="AD33" s="91"/>
      <c r="AE33" s="9" t="s">
        <v>227</v>
      </c>
      <c r="AF33" s="12"/>
      <c r="AG33" s="9">
        <f>COUNTIFS(AntibodyDrugList!$I$3:$I$176,"*Lymphoma*",AntibodyDrugList!K$3:K$176,"*Cytokine-cytokine receptor interaction*")</f>
        <v>0</v>
      </c>
      <c r="AH33" s="9">
        <f>COUNTIFS(AntibodyDrugList!$I$3:$I$176,"*Lymphoma*",AntibodyDrugList!K$3:K$176,"*Hematopoietic cell lineage*")</f>
        <v>3</v>
      </c>
      <c r="AI33" s="9">
        <f>COUNTIFS(AntibodyDrugList!$I$3:$I$176,"*Lymphoma*",AntibodyDrugList!K$3:K$176,"*MAPK signaling pathway*")</f>
        <v>0</v>
      </c>
      <c r="AJ33" s="9">
        <f>COUNTIFS(AntibodyDrugList!$I$3:$I$176,"*Lymphoma*",AntibodyDrugList!K$3:K$176,"*Rheumatoid arthritis*")</f>
        <v>0</v>
      </c>
      <c r="AK33" s="9">
        <f>COUNTIFS(AntibodyDrugList!$I$3:$I$176,"*Lymphoma*",AntibodyDrugList!K$3:K$176,"*Cell adhesion molecules*")</f>
        <v>0</v>
      </c>
      <c r="AL33" s="9">
        <f>COUNTIFS(AntibodyDrugList!$I$3:$I$176,"*Lymphoma*",AntibodyDrugList!K$3:K$176,"*Focal adhesion*")</f>
        <v>0</v>
      </c>
      <c r="AM33" s="9">
        <f>COUNTIFS(AntibodyDrugList!$I$3:$I$176,"*Lymphoma*",AntibodyDrugList!K$3:K$176,"*Jak-STAT signaling pathway*")</f>
        <v>0</v>
      </c>
      <c r="AN33" s="9">
        <f>COUNTIFS(AntibodyDrugList!$I$3:$I$176,"*Lymphoma*",AntibodyDrugList!K$3:K$176,"*Pathways in cancer*")</f>
        <v>0</v>
      </c>
      <c r="AO33" s="9">
        <f>COUNTIFS(AntibodyDrugList!$I$3:$I$176,"*Lymphoma*",AntibodyDrugList!K$3:K$176,"*ErbB signaling pathway*")</f>
        <v>0</v>
      </c>
      <c r="AP33" s="9">
        <f>COUNTIFS(AntibodyDrugList!$I$3:$I$176,"*Lymphoma*",AntibodyDrugList!K$3:K$176,"*Apoptosis*")</f>
        <v>0</v>
      </c>
      <c r="AQ33" s="9">
        <f>COUNTIFS(AntibodyDrugList!$I$3:$I$176,"*Lymphoma*",AntibodyDrugList!K$3:K$176,"*Calcium signaling pathway*")</f>
        <v>0</v>
      </c>
      <c r="AR33" s="9">
        <f>COUNTIFS(AntibodyDrugList!$I$3:$I$176,"*Lymphoma*",AntibodyDrugList!K$3:K$176,"*T cell receptor signaling pathway*")</f>
        <v>0</v>
      </c>
      <c r="AS33" s="9">
        <f>COUNTIFS(AntibodyDrugList!$I$3:$I$176,"*Lymphoma*",AntibodyDrugList!K$3:K$176,"*TGF-beta signaling pathway*")</f>
        <v>0</v>
      </c>
      <c r="AT33" s="9">
        <f>COUNTIFS(AntibodyDrugList!$I$3:$I$176,"*Lymphoma*",AntibodyDrugList!K$3:K$176,"*VEGF signaling pathway*")</f>
        <v>0</v>
      </c>
      <c r="AU33" s="9">
        <f>COUNTIFS(AntibodyDrugList!$I$3:$I$176,"*Lymphoma*",AntibodyDrugList!K$3:K$176,"*Adherens junction*")</f>
        <v>0</v>
      </c>
      <c r="AV33" s="9">
        <f>COUNTIFS(AntibodyDrugList!$I$3:$I$176,"*Lymphoma*",AntibodyDrugList!K$3:K$176,"*Adipocytokine signaling pathway*")</f>
        <v>0</v>
      </c>
      <c r="AW33" s="9">
        <f>COUNTIFS(AntibodyDrugList!$I$3:$I$176,"*Lymphoma*",AntibodyDrugList!K$3:K$176,"*Antigen processing and presentation*")</f>
        <v>0</v>
      </c>
      <c r="AX33" s="9">
        <f>COUNTIFS(AntibodyDrugList!$I$3:$I$176,"*Lymphoma*",AntibodyDrugList!K$3:K$176,"*ECM-receptor interaction*")</f>
        <v>0</v>
      </c>
      <c r="AY33" s="9">
        <f>COUNTIFS(AntibodyDrugList!$I$3:$I$176,"*Lymphoma*",AntibodyDrugList!K$3:K$176,"*NOD-like receptor signaling pathway*")</f>
        <v>0</v>
      </c>
      <c r="AZ33" s="9">
        <f>COUNTIFS(AntibodyDrugList!$I$3:$I$176,"*Lymphoma*",AntibodyDrugList!K$3:K$176,"*Natural killer cell mediated cytotoxicity*")</f>
        <v>0</v>
      </c>
      <c r="BA33" s="3">
        <f>COUNTIFS(AntibodyDrugList!$I$3:$I$176,"*Lymphoma*",AntibodyDrugList!K$3:K$176,"*Toll-like receptor signaling pathway*")</f>
        <v>0</v>
      </c>
      <c r="BB33" s="20">
        <f t="shared" si="0"/>
        <v>3</v>
      </c>
    </row>
    <row r="34" spans="19:54" ht="11.7" customHeight="1" x14ac:dyDescent="0.25">
      <c r="S34" s="105"/>
      <c r="T34" s="61" t="s">
        <v>597</v>
      </c>
      <c r="U34" s="58" t="s">
        <v>1282</v>
      </c>
      <c r="V34" s="59" t="s">
        <v>1283</v>
      </c>
      <c r="AD34" s="91"/>
      <c r="AE34" s="9" t="s">
        <v>88</v>
      </c>
      <c r="AF34" s="12"/>
      <c r="AG34" s="9">
        <f>COUNTIFS(AntibodyDrugList!$I$3:$I$176,"*Solid tumors*",AntibodyDrugList!K$3:K$176,"*Cytokine-cytokine receptor interaction*")</f>
        <v>2</v>
      </c>
      <c r="AH34" s="9">
        <f>COUNTIFS(AntibodyDrugList!$I$3:$I$176,"*Solid tumors*",AntibodyDrugList!K$3:K$176,"*Hematopoietic cell lineage*")</f>
        <v>0</v>
      </c>
      <c r="AI34" s="9">
        <f>COUNTIFS(AntibodyDrugList!$I$3:$I$176,"*Solid tumors*",AntibodyDrugList!K$3:K$176,"*MAPK signaling pathway*")</f>
        <v>0</v>
      </c>
      <c r="AJ34" s="9">
        <f>COUNTIFS(AntibodyDrugList!$I$3:$I$176,"*Solid tumors*",AntibodyDrugList!K$3:K$176,"*Rheumatoid arthritis*")</f>
        <v>0</v>
      </c>
      <c r="AK34" s="9">
        <f>COUNTIFS(AntibodyDrugList!$I$3:$I$176,"*Solid tumors*",AntibodyDrugList!K$3:K$176,"*Cell adhesion molecules*")</f>
        <v>0</v>
      </c>
      <c r="AL34" s="9">
        <f>COUNTIFS(AntibodyDrugList!$I$3:$I$176,"*Solid tumors*",AntibodyDrugList!K$3:K$176,"*Focal adhesion*")</f>
        <v>2</v>
      </c>
      <c r="AM34" s="9">
        <f>COUNTIFS(AntibodyDrugList!$I$3:$I$176,"*Solid tumors*",AntibodyDrugList!K$3:K$176,"*Jak-STAT signaling pathway*")</f>
        <v>0</v>
      </c>
      <c r="AN34" s="9">
        <f>COUNTIFS(AntibodyDrugList!$I$3:$I$176,"*Solid tumors*",AntibodyDrugList!K$3:K$176,"*Pathways in cancer*")</f>
        <v>1</v>
      </c>
      <c r="AO34" s="9">
        <f>COUNTIFS(AntibodyDrugList!$I$3:$I$176,"*Solid tumors*",AntibodyDrugList!K$3:K$176,"*ErbB signaling pathway*")</f>
        <v>0</v>
      </c>
      <c r="AP34" s="9">
        <f>COUNTIFS(AntibodyDrugList!$I$3:$I$176,"*Solid tumors*",AntibodyDrugList!K$3:K$176,"*Apoptosis*")</f>
        <v>0</v>
      </c>
      <c r="AQ34" s="9">
        <f>COUNTIFS(AntibodyDrugList!$I$3:$I$176,"*Solid tumors*",AntibodyDrugList!K$3:K$176,"*Calcium signaling pathway*")</f>
        <v>0</v>
      </c>
      <c r="AR34" s="9">
        <f>COUNTIFS(AntibodyDrugList!$I$3:$I$176,"*Solid tumors*",AntibodyDrugList!K$3:K$176,"*T cell receptor signaling pathway*")</f>
        <v>0</v>
      </c>
      <c r="AS34" s="9">
        <f>COUNTIFS(AntibodyDrugList!$I$3:$I$176,"*Solid tumors*",AntibodyDrugList!K$3:K$176,"*TGF-beta signaling pathway*")</f>
        <v>0</v>
      </c>
      <c r="AT34" s="9">
        <f>COUNTIFS(AntibodyDrugList!$I$3:$I$176,"*Solid tumors*",AntibodyDrugList!K$3:K$176,"*VEGF signaling pathway*")</f>
        <v>1</v>
      </c>
      <c r="AU34" s="9">
        <f>COUNTIFS(AntibodyDrugList!$I$3:$I$176,"*Solid tumors*",AntibodyDrugList!K$3:K$176,"*Adherens junction*")</f>
        <v>0</v>
      </c>
      <c r="AV34" s="9">
        <f>COUNTIFS(AntibodyDrugList!$I$3:$I$176,"*Solid tumors*",AntibodyDrugList!K$3:K$176,"*Adipocytokine signaling pathway*")</f>
        <v>0</v>
      </c>
      <c r="AW34" s="9">
        <f>COUNTIFS(AntibodyDrugList!$I$3:$I$176,"*Solid tumors*",AntibodyDrugList!K$3:K$176,"*Antigen processing and presentation*")</f>
        <v>0</v>
      </c>
      <c r="AX34" s="9">
        <f>COUNTIFS(AntibodyDrugList!$I$3:$I$176,"*Solid tumors*",AntibodyDrugList!K$3:K$176,"*ECM-receptor interaction*")</f>
        <v>0</v>
      </c>
      <c r="AY34" s="9">
        <f>COUNTIFS(AntibodyDrugList!$I$3:$I$176,"*Solid tumors*",AntibodyDrugList!K$3:K$176,"*NOD-like receptor signaling pathway*")</f>
        <v>0</v>
      </c>
      <c r="AZ34" s="9">
        <f>COUNTIFS(AntibodyDrugList!$I$3:$I$176,"*Solid tumors*",AntibodyDrugList!K$3:K$176,"*Natural killer cell mediated cytotoxicity*")</f>
        <v>0</v>
      </c>
      <c r="BA34" s="3">
        <f>COUNTIFS(AntibodyDrugList!$I$3:$I$176,"*Solid tumors*",AntibodyDrugList!K$3:K$176,"*Toll-like receptor signaling pathway*")</f>
        <v>0</v>
      </c>
      <c r="BB34" s="20">
        <f t="shared" si="0"/>
        <v>6</v>
      </c>
    </row>
    <row r="35" spans="19:54" ht="11.7" customHeight="1" x14ac:dyDescent="0.25">
      <c r="S35" s="105"/>
      <c r="T35" s="61" t="s">
        <v>887</v>
      </c>
      <c r="U35" s="9" t="s">
        <v>131</v>
      </c>
      <c r="V35" s="11" t="s">
        <v>888</v>
      </c>
      <c r="AD35" s="91"/>
      <c r="AE35" s="9" t="s">
        <v>299</v>
      </c>
      <c r="AF35" s="12"/>
      <c r="AG35" s="9">
        <f>COUNTIFS(AntibodyDrugList!$I$3:$I$176,"*PML*",AntibodyDrugList!K$3:K$176,"*Cytokine-cytokine receptor interaction*")</f>
        <v>0</v>
      </c>
      <c r="AH35" s="9">
        <f>COUNTIFS(AntibodyDrugList!$I$3:$I$176,"*PML*",AntibodyDrugList!K$3:K$176,"*Hematopoietic cell lineage*")</f>
        <v>0</v>
      </c>
      <c r="AI35" s="9">
        <f>COUNTIFS(AntibodyDrugList!$I$3:$I$176,"*PML*",AntibodyDrugList!K$3:K$176,"*MAPK signaling pathway*")</f>
        <v>0</v>
      </c>
      <c r="AJ35" s="9">
        <f>COUNTIFS(AntibodyDrugList!$I$3:$I$176,"*PML*",AntibodyDrugList!K$3:K$176,"*Rheumatoid arthritis*")</f>
        <v>0</v>
      </c>
      <c r="AK35" s="9">
        <f>COUNTIFS(AntibodyDrugList!$I$3:$I$176,"*PML*",AntibodyDrugList!K$3:K$176,"*Cell adhesion molecules*")</f>
        <v>1</v>
      </c>
      <c r="AL35" s="9">
        <f>COUNTIFS(AntibodyDrugList!$I$3:$I$176,"*PML*",AntibodyDrugList!K$3:K$176,"*Focal adhesion*")</f>
        <v>1</v>
      </c>
      <c r="AM35" s="9">
        <f>COUNTIFS(AntibodyDrugList!$I$3:$I$176,"*PML*",AntibodyDrugList!K$3:K$176,"*Jak-STAT signaling pathway*")</f>
        <v>0</v>
      </c>
      <c r="AN35" s="9">
        <f>COUNTIFS(AntibodyDrugList!$I$3:$I$176,"*PML*",AntibodyDrugList!K$3:K$176,"*Pathways in cancer*")</f>
        <v>0</v>
      </c>
      <c r="AO35" s="9">
        <f>COUNTIFS(AntibodyDrugList!$I$3:$I$176,"*PML*",AntibodyDrugList!K$3:K$176,"*ErbB signaling pathway*")</f>
        <v>0</v>
      </c>
      <c r="AP35" s="9">
        <f>COUNTIFS(AntibodyDrugList!$I$3:$I$176,"*PML*",AntibodyDrugList!K$3:K$176,"*Apoptosis*")</f>
        <v>0</v>
      </c>
      <c r="AQ35" s="9">
        <f>COUNTIFS(AntibodyDrugList!$I$3:$I$176,"*PML*",AntibodyDrugList!K$3:K$176,"*Calcium signaling pathway*")</f>
        <v>0</v>
      </c>
      <c r="AR35" s="9">
        <f>COUNTIFS(AntibodyDrugList!$I$3:$I$176,"*PML*",AntibodyDrugList!K$3:K$176,"*T cell receptor signaling pathway*")</f>
        <v>0</v>
      </c>
      <c r="AS35" s="9">
        <f>COUNTIFS(AntibodyDrugList!$I$3:$I$176,"*PML*",AntibodyDrugList!K$3:K$176,"*TGF-beta signaling pathway*")</f>
        <v>0</v>
      </c>
      <c r="AT35" s="9">
        <f>COUNTIFS(AntibodyDrugList!$I$3:$I$176,"*PML*",AntibodyDrugList!K$3:K$176,"*VEGF signaling pathway*")</f>
        <v>0</v>
      </c>
      <c r="AU35" s="9">
        <f>COUNTIFS(AntibodyDrugList!$I$3:$I$176,"*PML*",AntibodyDrugList!K$3:K$176,"*Adherens junction*")</f>
        <v>0</v>
      </c>
      <c r="AV35" s="9">
        <f>COUNTIFS(AntibodyDrugList!$I$3:$I$176,"*PML*",AntibodyDrugList!K$3:K$176,"*Adipocytokine signaling pathway*")</f>
        <v>0</v>
      </c>
      <c r="AW35" s="9">
        <f>COUNTIFS(AntibodyDrugList!$I$3:$I$176,"*PML*",AntibodyDrugList!K$3:K$176,"*Antigen processing and presentation*")</f>
        <v>0</v>
      </c>
      <c r="AX35" s="9">
        <f>COUNTIFS(AntibodyDrugList!$I$3:$I$176,"*PML*",AntibodyDrugList!K$3:K$176,"*ECM-receptor interaction*")</f>
        <v>1</v>
      </c>
      <c r="AY35" s="9">
        <f>COUNTIFS(AntibodyDrugList!$I$3:$I$176,"*PML*",AntibodyDrugList!K$3:K$176,"*NOD-like receptor signaling pathway*")</f>
        <v>0</v>
      </c>
      <c r="AZ35" s="9">
        <f>COUNTIFS(AntibodyDrugList!$I$3:$I$176,"*PML*",AntibodyDrugList!K$3:K$176,"*Natural killer cell mediated cytotoxicity*")</f>
        <v>0</v>
      </c>
      <c r="BA35" s="3">
        <f>COUNTIFS(AntibodyDrugList!$I$3:$I$176,"*PML*",AntibodyDrugList!K$3:K$176,"*Toll-like receptor signaling pathway*")</f>
        <v>0</v>
      </c>
      <c r="BB35" s="20">
        <f t="shared" si="0"/>
        <v>3</v>
      </c>
    </row>
    <row r="36" spans="19:54" ht="11.7" customHeight="1" x14ac:dyDescent="0.25">
      <c r="S36" s="105"/>
      <c r="T36" s="61" t="s">
        <v>694</v>
      </c>
      <c r="U36" s="58" t="s">
        <v>1284</v>
      </c>
      <c r="V36" s="59" t="s">
        <v>1285</v>
      </c>
      <c r="AD36" s="91"/>
      <c r="AE36" s="9" t="s">
        <v>224</v>
      </c>
      <c r="AF36" s="12"/>
      <c r="AG36" s="9">
        <f>COUNTIFS(AntibodyDrugList!$I$3:$I$176,"*Graft-versus-host disease*",AntibodyDrugList!K$3:K$176,"*Cytokine-cytokine receptor interaction*")</f>
        <v>0</v>
      </c>
      <c r="AH36" s="9">
        <f>COUNTIFS(AntibodyDrugList!$I$3:$I$176,"*Graft-versus-host disease*",AntibodyDrugList!K$3:K$176,"*Hematopoietic cell lineage*")</f>
        <v>0</v>
      </c>
      <c r="AI36" s="9">
        <f>COUNTIFS(AntibodyDrugList!$I$3:$I$176,"*Graft-versus-host disease*",AntibodyDrugList!K$3:K$176,"*MAPK signaling pathway*")</f>
        <v>0</v>
      </c>
      <c r="AJ36" s="9">
        <f>COUNTIFS(AntibodyDrugList!$I$3:$I$176,"*Graft-versus-host disease*",AntibodyDrugList!K$3:K$176,"*Rheumatoid arthritis*")</f>
        <v>1</v>
      </c>
      <c r="AK36" s="9">
        <f>COUNTIFS(AntibodyDrugList!$I$3:$I$176,"*Graft-versus-host disease*",AntibodyDrugList!K$3:K$176,"*Cell adhesion molecules*")</f>
        <v>1</v>
      </c>
      <c r="AL36" s="9">
        <f>COUNTIFS(AntibodyDrugList!$I$3:$I$176,"*Graft-versus-host disease*",AntibodyDrugList!K$3:K$176,"*Focal adhesion*")</f>
        <v>0</v>
      </c>
      <c r="AM36" s="9">
        <f>COUNTIFS(AntibodyDrugList!$I$3:$I$176,"*Graft-versus-host disease*",AntibodyDrugList!K$3:K$176,"*Jak-STAT signaling pathway*")</f>
        <v>0</v>
      </c>
      <c r="AN36" s="9">
        <f>COUNTIFS(AntibodyDrugList!$I$3:$I$176,"*Graft-versus-host disease*",AntibodyDrugList!K$3:K$176,"*Pathways in cancer*")</f>
        <v>0</v>
      </c>
      <c r="AO36" s="9">
        <f>COUNTIFS(AntibodyDrugList!$I$3:$I$176,"*Graft-versus-host disease*",AntibodyDrugList!K$3:K$176,"*ErbB signaling pathway*")</f>
        <v>0</v>
      </c>
      <c r="AP36" s="9">
        <f>COUNTIFS(AntibodyDrugList!$I$3:$I$176,"*Graft-versus-host disease*",AntibodyDrugList!K$3:K$176,"*Apoptosis*")</f>
        <v>0</v>
      </c>
      <c r="AQ36" s="9">
        <f>COUNTIFS(AntibodyDrugList!$I$3:$I$176,"*Graft-versus-host disease*",AntibodyDrugList!K$3:K$176,"*Calcium signaling pathway*")</f>
        <v>0</v>
      </c>
      <c r="AR36" s="9">
        <f>COUNTIFS(AntibodyDrugList!$I$3:$I$176,"*Graft-versus-host disease*",AntibodyDrugList!K$3:K$176,"*T cell receptor signaling pathway*")</f>
        <v>1</v>
      </c>
      <c r="AS36" s="9">
        <f>COUNTIFS(AntibodyDrugList!$I$3:$I$176,"*Graft-versus-host disease*",AntibodyDrugList!K$3:K$176,"*TGF-beta signaling pathway*")</f>
        <v>0</v>
      </c>
      <c r="AT36" s="9">
        <f>COUNTIFS(AntibodyDrugList!$I$3:$I$176,"*Graft-versus-host disease*",AntibodyDrugList!K$3:K$176,"*VEGF signaling pathway*")</f>
        <v>0</v>
      </c>
      <c r="AU36" s="9">
        <f>COUNTIFS(AntibodyDrugList!$I$3:$I$176,"*Graft-versus-host disease*",AntibodyDrugList!K$3:K$176,"*Adherens junction*")</f>
        <v>0</v>
      </c>
      <c r="AV36" s="9">
        <f>COUNTIFS(AntibodyDrugList!$I$3:$I$176,"*Graft-versus-host disease*",AntibodyDrugList!K$3:K$176,"*Adipocytokine signaling pathway*")</f>
        <v>0</v>
      </c>
      <c r="AW36" s="9">
        <f>COUNTIFS(AntibodyDrugList!$I$3:$I$176,"*Graft-versus-host disease*",AntibodyDrugList!K$3:K$176,"*Antigen processing and presentation*")</f>
        <v>0</v>
      </c>
      <c r="AX36" s="9">
        <f>COUNTIFS(AntibodyDrugList!$I$3:$I$176,"*Graft-versus-host disease*",AntibodyDrugList!K$3:K$176,"*ECM-receptor interaction*")</f>
        <v>0</v>
      </c>
      <c r="AY36" s="9">
        <f>COUNTIFS(AntibodyDrugList!$I$3:$I$176,"*Graft-versus-host disease*",AntibodyDrugList!K$3:K$176,"*NOD-like receptor signaling pathway*")</f>
        <v>0</v>
      </c>
      <c r="AZ36" s="9">
        <f>COUNTIFS(AntibodyDrugList!$I$3:$I$176,"*Graft-versus-host disease*",AntibodyDrugList!K$3:K$176,"*Natural killer cell mediated cytotoxicity*")</f>
        <v>0</v>
      </c>
      <c r="BA36" s="3">
        <f>COUNTIFS(AntibodyDrugList!$I$3:$I$176,"*Graft-versus-host disease*",AntibodyDrugList!K$3:K$176,"*Toll-like receptor signaling pathway*")</f>
        <v>0</v>
      </c>
      <c r="BB36" s="20">
        <f t="shared" si="0"/>
        <v>3</v>
      </c>
    </row>
    <row r="37" spans="19:54" ht="11.7" customHeight="1" x14ac:dyDescent="0.25">
      <c r="S37" s="105"/>
      <c r="T37" s="61" t="s">
        <v>1211</v>
      </c>
      <c r="U37" s="9" t="s">
        <v>639</v>
      </c>
      <c r="V37" s="11"/>
      <c r="AD37" s="91"/>
      <c r="AE37" s="9" t="s">
        <v>233</v>
      </c>
      <c r="AF37" s="12"/>
      <c r="AG37" s="9">
        <f>COUNTIFS(AntibodyDrugList!$I$3:$I$176,"*Allograft rejection*",AntibodyDrugList!K$3:K$176,"*Cytokine-cytokine receptor interaction*")</f>
        <v>0</v>
      </c>
      <c r="AH37" s="9">
        <f>COUNTIFS(AntibodyDrugList!$I$3:$I$176,"*Allograft rejection*",AntibodyDrugList!K$3:K$176,"*Hematopoietic cell lineage*")</f>
        <v>0</v>
      </c>
      <c r="AI37" s="9">
        <f>COUNTIFS(AntibodyDrugList!$I$3:$I$176,"*Allograft rejection*",AntibodyDrugList!K$3:K$176,"*MAPK signaling pathway*")</f>
        <v>0</v>
      </c>
      <c r="AJ37" s="9">
        <f>COUNTIFS(AntibodyDrugList!$I$3:$I$176,"*Allograft rejection*",AntibodyDrugList!K$3:K$176,"*Rheumatoid arthritis*")</f>
        <v>1</v>
      </c>
      <c r="AK37" s="9">
        <f>COUNTIFS(AntibodyDrugList!$I$3:$I$176,"*Allograft rejection*",AntibodyDrugList!K$3:K$176,"*Cell adhesion molecules*")</f>
        <v>1</v>
      </c>
      <c r="AL37" s="9">
        <f>COUNTIFS(AntibodyDrugList!$I$3:$I$176,"*Allograft rejection*",AntibodyDrugList!K$3:K$176,"*Focal adhesion*")</f>
        <v>0</v>
      </c>
      <c r="AM37" s="9">
        <f>COUNTIFS(AntibodyDrugList!$I$3:$I$176,"*Allograft rejection*",AntibodyDrugList!K$3:K$176,"*Jak-STAT signaling pathway*")</f>
        <v>0</v>
      </c>
      <c r="AN37" s="9">
        <f>COUNTIFS(AntibodyDrugList!$I$3:$I$176,"*Allograft rejection*",AntibodyDrugList!K$3:K$176,"*Pathways in cancer*")</f>
        <v>0</v>
      </c>
      <c r="AO37" s="9">
        <f>COUNTIFS(AntibodyDrugList!$I$3:$I$176,"*Allograft rejection*",AntibodyDrugList!K$3:K$176,"*ErbB signaling pathway*")</f>
        <v>0</v>
      </c>
      <c r="AP37" s="9">
        <f>COUNTIFS(AntibodyDrugList!$I$3:$I$176,"*Allograft rejection*",AntibodyDrugList!K$3:K$176,"*Apoptosis*")</f>
        <v>0</v>
      </c>
      <c r="AQ37" s="9">
        <f>COUNTIFS(AntibodyDrugList!$I$3:$I$176,"*Allograft rejection*",AntibodyDrugList!K$3:K$176,"*Calcium signaling pathway*")</f>
        <v>0</v>
      </c>
      <c r="AR37" s="9">
        <f>COUNTIFS(AntibodyDrugList!$I$3:$I$176,"*Allograft rejection*",AntibodyDrugList!K$3:K$176,"*T cell receptor signaling pathway*")</f>
        <v>1</v>
      </c>
      <c r="AS37" s="9">
        <f>COUNTIFS(AntibodyDrugList!$I$3:$I$176,"*Allograft rejection*",AntibodyDrugList!K$3:K$176,"*TGF-beta signaling pathway*")</f>
        <v>0</v>
      </c>
      <c r="AT37" s="9">
        <f>COUNTIFS(AntibodyDrugList!$I$3:$I$176,"*Allograft rejection*",AntibodyDrugList!K$3:K$176,"*VEGF signaling pathway*")</f>
        <v>0</v>
      </c>
      <c r="AU37" s="9">
        <f>COUNTIFS(AntibodyDrugList!$I$3:$I$176,"*Allograft rejection*",AntibodyDrugList!K$3:K$176,"*Adherens junction*")</f>
        <v>0</v>
      </c>
      <c r="AV37" s="9">
        <f>COUNTIFS(AntibodyDrugList!$I$3:$I$176,"*Allograft rejection*",AntibodyDrugList!K$3:K$176,"*Adipocytokine signaling pathway*")</f>
        <v>0</v>
      </c>
      <c r="AW37" s="9">
        <f>COUNTIFS(AntibodyDrugList!$I$3:$I$176,"*Allograft rejection*",AntibodyDrugList!K$3:K$176,"*Antigen processing and presentation*")</f>
        <v>0</v>
      </c>
      <c r="AX37" s="9">
        <f>COUNTIFS(AntibodyDrugList!$I$3:$I$176,"*Allograft rejection*",AntibodyDrugList!K$3:K$176,"*ECM-receptor interaction*")</f>
        <v>0</v>
      </c>
      <c r="AY37" s="9">
        <f>COUNTIFS(AntibodyDrugList!$I$3:$I$176,"*Allograft rejection*",AntibodyDrugList!K$3:K$176,"*NOD-like receptor signaling pathway*")</f>
        <v>0</v>
      </c>
      <c r="AZ37" s="9">
        <f>COUNTIFS(AntibodyDrugList!$I$3:$I$176,"*Allograft rejection*",AntibodyDrugList!K$3:K$176,"*Natural killer cell mediated cytotoxicity*")</f>
        <v>0</v>
      </c>
      <c r="BA37" s="3">
        <f>COUNTIFS(AntibodyDrugList!$I$3:$I$176,"*Allograft rejection*",AntibodyDrugList!K$3:K$176,"*Toll-like receptor signaling pathway*")</f>
        <v>0</v>
      </c>
      <c r="BB37" s="20">
        <f t="shared" si="0"/>
        <v>3</v>
      </c>
    </row>
    <row r="38" spans="19:54" ht="11.7" customHeight="1" x14ac:dyDescent="0.25">
      <c r="S38" s="105"/>
      <c r="T38" s="61" t="s">
        <v>338</v>
      </c>
      <c r="U38" s="9" t="s">
        <v>52</v>
      </c>
      <c r="V38" s="11" t="s">
        <v>476</v>
      </c>
      <c r="AD38" s="91"/>
      <c r="AE38" s="9" t="s">
        <v>141</v>
      </c>
      <c r="AF38" s="12"/>
      <c r="AG38" s="9">
        <f>COUNTIFS(AntibodyDrugList!$I$3:$I$176,"*Acute lymphoblastic leukaemia*",AntibodyDrugList!K$3:K$176,"*Cytokine-cytokine receptor interaction*")</f>
        <v>0</v>
      </c>
      <c r="AH38" s="9">
        <f>COUNTIFS(AntibodyDrugList!$I$3:$I$176,"*Acute lymphoblastic leukaemia*",AntibodyDrugList!K$3:K$176,"*Hematopoietic cell lineage*")</f>
        <v>0</v>
      </c>
      <c r="AI38" s="9">
        <f>COUNTIFS(AntibodyDrugList!$I$3:$I$176,"*Acute lymphoblastic leukaemia*",AntibodyDrugList!K$3:K$176,"*MAPK signaling pathway*")</f>
        <v>0</v>
      </c>
      <c r="AJ38" s="9">
        <f>COUNTIFS(AntibodyDrugList!$I$3:$I$176,"*Acute lymphoblastic leukaemia*",AntibodyDrugList!K$3:K$176,"*Rheumatoid arthritis*")</f>
        <v>0</v>
      </c>
      <c r="AK38" s="9">
        <f>COUNTIFS(AntibodyDrugList!$I$3:$I$176,"*Acute lymphoblastic leukaemia*",AntibodyDrugList!K$3:K$176,"*Cell adhesion molecules*")</f>
        <v>0</v>
      </c>
      <c r="AL38" s="9">
        <f>COUNTIFS(AntibodyDrugList!$I$3:$I$176,"*Acute lymphoblastic leukaemia*",AntibodyDrugList!K$3:K$176,"*Focal adhesion*")</f>
        <v>0</v>
      </c>
      <c r="AM38" s="9">
        <f>COUNTIFS(AntibodyDrugList!$I$3:$I$176,"*Acute lymphoblastic leukaemia*",AntibodyDrugList!K$3:K$176,"*Jak-STAT signaling pathway*")</f>
        <v>0</v>
      </c>
      <c r="AN38" s="9">
        <f>COUNTIFS(AntibodyDrugList!$I$3:$I$176,"*Acute lymphoblastic leukaemia*",AntibodyDrugList!K$3:K$176,"*Pathways in cancer*")</f>
        <v>0</v>
      </c>
      <c r="AO38" s="9">
        <f>COUNTIFS(AntibodyDrugList!$I$3:$I$176,"*Acute lymphoblastic leukaemia*",AntibodyDrugList!K$3:K$176,"*ErbB signaling pathway*")</f>
        <v>0</v>
      </c>
      <c r="AP38" s="9">
        <f>COUNTIFS(AntibodyDrugList!$I$3:$I$176,"*Acute lymphoblastic leukaemia*",AntibodyDrugList!K$3:K$176,"*Apoptosis*")</f>
        <v>0</v>
      </c>
      <c r="AQ38" s="9">
        <f>COUNTIFS(AntibodyDrugList!$I$3:$I$176,"*Acute lymphoblastic leukaemia*",AntibodyDrugList!K$3:K$176,"*Calcium signaling pathway*")</f>
        <v>0</v>
      </c>
      <c r="AR38" s="9">
        <f>COUNTIFS(AntibodyDrugList!$I$3:$I$176,"*Acute lymphoblastic leukaemia*",AntibodyDrugList!K$3:K$176,"*T cell receptor signaling pathway*")</f>
        <v>1</v>
      </c>
      <c r="AS38" s="9">
        <f>COUNTIFS(AntibodyDrugList!$I$3:$I$176,"*Acute lymphoblastic leukaemia*",AntibodyDrugList!K$3:K$176,"*TGF-beta signaling pathway*")</f>
        <v>0</v>
      </c>
      <c r="AT38" s="9">
        <f>COUNTIFS(AntibodyDrugList!$I$3:$I$176,"*Acute lymphoblastic leukaemia*",AntibodyDrugList!K$3:K$176,"*VEGF signaling pathway*")</f>
        <v>0</v>
      </c>
      <c r="AU38" s="9">
        <f>COUNTIFS(AntibodyDrugList!$I$3:$I$176,"*Acute lymphoblastic leukaemia*",AntibodyDrugList!K$3:K$176,"*Adherens junction*")</f>
        <v>0</v>
      </c>
      <c r="AV38" s="9">
        <f>COUNTIFS(AntibodyDrugList!$I$3:$I$176,"*Acute lymphoblastic leukaemia*",AntibodyDrugList!K$3:K$176,"*Adipocytokine signaling pathway*")</f>
        <v>0</v>
      </c>
      <c r="AW38" s="9">
        <f>COUNTIFS(AntibodyDrugList!$I$3:$I$176,"*Acute lymphoblastic leukaemia*",AntibodyDrugList!K$3:K$176,"*Antigen processing and presentation*")</f>
        <v>0</v>
      </c>
      <c r="AX38" s="9">
        <f>COUNTIFS(AntibodyDrugList!$I$3:$I$176,"*Acute lymphoblastic leukaemia*",AntibodyDrugList!K$3:K$176,"*ECM-receptor interaction*")</f>
        <v>0</v>
      </c>
      <c r="AY38" s="9">
        <f>COUNTIFS(AntibodyDrugList!$I$3:$I$176,"*Acute lymphoblastic leukaemia*",AntibodyDrugList!K$3:K$176,"*NOD-like receptor signaling pathway*")</f>
        <v>0</v>
      </c>
      <c r="AZ38" s="9">
        <f>COUNTIFS(AntibodyDrugList!$I$3:$I$176,"*Acute lymphoblastic leukaemia*",AntibodyDrugList!K$3:K$176,"*Natural killer cell mediated cytotoxicity*")</f>
        <v>0</v>
      </c>
      <c r="BA38" s="3">
        <f>COUNTIFS(AntibodyDrugList!$I$3:$I$176,"*Acute lymphoblastic leukaemia*",AntibodyDrugList!K$3:K$176,"*Toll-like receptor signaling pathway*")</f>
        <v>0</v>
      </c>
      <c r="BB38" s="20">
        <f t="shared" si="0"/>
        <v>1</v>
      </c>
    </row>
    <row r="39" spans="19:54" ht="11.7" customHeight="1" x14ac:dyDescent="0.25">
      <c r="S39" s="104" t="s">
        <v>320</v>
      </c>
      <c r="T39" s="65" t="s">
        <v>339</v>
      </c>
      <c r="U39" s="66" t="s">
        <v>29</v>
      </c>
      <c r="V39" s="20" t="s">
        <v>481</v>
      </c>
      <c r="AD39" s="91"/>
      <c r="AE39" s="9" t="s">
        <v>109</v>
      </c>
      <c r="AF39" s="12"/>
      <c r="AG39" s="9">
        <f>COUNTIFS(AntibodyDrugList!$I$3:$I$176,"*Organ rejection after a kidney transplant*",AntibodyDrugList!K$3:K$176,"*Cytokine-cytokine receptor interaction*")</f>
        <v>0</v>
      </c>
      <c r="AH39" s="9">
        <f>COUNTIFS(AntibodyDrugList!$I$3:$I$176,"*Organ rejection after a kidney transplant*",AntibodyDrugList!K$3:K$176,"*Hematopoietic cell lineage*")</f>
        <v>0</v>
      </c>
      <c r="AI39" s="9">
        <f>COUNTIFS(AntibodyDrugList!$I$3:$I$176,"*Organ rejection after a kidney transplant*",AntibodyDrugList!K$3:K$176,"*MAPK signaling pathway*")</f>
        <v>0</v>
      </c>
      <c r="AJ39" s="9">
        <f>COUNTIFS(AntibodyDrugList!$I$3:$I$176,"*Organ rejection after a kidney transplant*",AntibodyDrugList!K$3:K$176,"*Rheumatoid arthritis*")</f>
        <v>0</v>
      </c>
      <c r="AK39" s="9">
        <f>COUNTIFS(AntibodyDrugList!$I$3:$I$176,"*Organ rejection after a kidney transplant*",AntibodyDrugList!K$3:K$176,"*Cell adhesion molecules*")</f>
        <v>0</v>
      </c>
      <c r="AL39" s="9">
        <f>COUNTIFS(AntibodyDrugList!$I$3:$I$176,"*Organ rejection after a kidney transplant*",AntibodyDrugList!K$3:K$176,"*Focal adhesion*")</f>
        <v>0</v>
      </c>
      <c r="AM39" s="9">
        <f>COUNTIFS(AntibodyDrugList!$I$3:$I$176,"*Organ rejection after a kidney transplant*",AntibodyDrugList!K$3:K$176,"*Jak-STAT signaling pathway*")</f>
        <v>0</v>
      </c>
      <c r="AN39" s="9">
        <f>COUNTIFS(AntibodyDrugList!$I$3:$I$176,"*Organ rejection after a kidney transplant*",AntibodyDrugList!K$3:K$176,"*Pathways in cancer*")</f>
        <v>0</v>
      </c>
      <c r="AO39" s="9">
        <f>COUNTIFS(AntibodyDrugList!$I$3:$I$176,"*Organ rejection after a kidney transplant*",AntibodyDrugList!K$3:K$176,"*ErbB signaling pathway*")</f>
        <v>0</v>
      </c>
      <c r="AP39" s="9">
        <f>COUNTIFS(AntibodyDrugList!$I$3:$I$176,"*Organ rejection after a kidney transplant*",AntibodyDrugList!K$3:K$176,"*Apoptosis*")</f>
        <v>0</v>
      </c>
      <c r="AQ39" s="9">
        <f>COUNTIFS(AntibodyDrugList!$I$3:$I$176,"*Organ rejection after a kidney transplant*",AntibodyDrugList!K$3:K$176,"*Calcium signaling pathway*")</f>
        <v>0</v>
      </c>
      <c r="AR39" s="9">
        <f>COUNTIFS(AntibodyDrugList!$I$3:$I$176,"*Organ rejection after a kidney transplant*",AntibodyDrugList!K$3:K$176,"*T cell receptor signaling pathway*")</f>
        <v>1</v>
      </c>
      <c r="AS39" s="9">
        <f>COUNTIFS(AntibodyDrugList!$I$3:$I$176,"*Organ rejection after a kidney transplant*",AntibodyDrugList!K$3:K$176,"*TGF-beta signaling pathway*")</f>
        <v>0</v>
      </c>
      <c r="AT39" s="9">
        <f>COUNTIFS(AntibodyDrugList!$I$3:$I$176,"*Organ rejection after a kidney transplant*",AntibodyDrugList!K$3:K$176,"*VEGF signaling pathway*")</f>
        <v>0</v>
      </c>
      <c r="AU39" s="9">
        <f>COUNTIFS(AntibodyDrugList!$I$3:$I$176,"*Organ rejection after a kidney transplant*",AntibodyDrugList!K$3:K$176,"*Adherens junction*")</f>
        <v>0</v>
      </c>
      <c r="AV39" s="9">
        <f>COUNTIFS(AntibodyDrugList!$I$3:$I$176,"*Organ rejection after a kidney transplant*",AntibodyDrugList!K$3:K$176,"*Adipocytokine signaling pathway*")</f>
        <v>0</v>
      </c>
      <c r="AW39" s="9">
        <f>COUNTIFS(AntibodyDrugList!$I$3:$I$176,"*Organ rejection after a kidney transplant*",AntibodyDrugList!K$3:K$176,"*Antigen processing and presentation*")</f>
        <v>0</v>
      </c>
      <c r="AX39" s="9">
        <f>COUNTIFS(AntibodyDrugList!$I$3:$I$176,"*Organ rejection after a kidney transplant*",AntibodyDrugList!K$3:K$176,"*ECM-receptor interaction*")</f>
        <v>0</v>
      </c>
      <c r="AY39" s="9">
        <f>COUNTIFS(AntibodyDrugList!$I$3:$I$176,"*Organ rejection after a kidney transplant*",AntibodyDrugList!K$3:K$176,"*NOD-like receptor signaling pathway*")</f>
        <v>0</v>
      </c>
      <c r="AZ39" s="9">
        <f>COUNTIFS(AntibodyDrugList!$I$3:$I$176,"*Organ rejection after a kidney transplant*",AntibodyDrugList!K$3:K$176,"*Natural killer cell mediated cytotoxicity*")</f>
        <v>0</v>
      </c>
      <c r="BA39" s="3">
        <f>COUNTIFS(AntibodyDrugList!$I$3:$I$176,"*Organ rejection after a kidney transplant*",AntibodyDrugList!K$3:K$176,"*Toll-like receptor signaling pathway*")</f>
        <v>0</v>
      </c>
      <c r="BB39" s="20">
        <f t="shared" si="0"/>
        <v>1</v>
      </c>
    </row>
    <row r="40" spans="19:54" ht="11.7" customHeight="1" x14ac:dyDescent="0.25">
      <c r="S40" s="104"/>
      <c r="T40" s="65" t="s">
        <v>360</v>
      </c>
      <c r="U40" s="66" t="s">
        <v>32</v>
      </c>
      <c r="V40" s="20" t="s">
        <v>892</v>
      </c>
      <c r="AD40" s="91"/>
      <c r="AE40" s="9" t="s">
        <v>27</v>
      </c>
      <c r="AF40" s="12"/>
      <c r="AG40" s="9">
        <f>COUNTIFS(AntibodyDrugList!$I$3:$I$176,"*Myocardial ischemia*",AntibodyDrugList!K$3:K$176,"*Cytokine-cytokine receptor interaction*")</f>
        <v>0</v>
      </c>
      <c r="AH40" s="9">
        <f>COUNTIFS(AntibodyDrugList!$I$3:$I$176,"*Myocardial ischemia*",AntibodyDrugList!K$3:K$176,"*Hematopoietic cell lineage*")</f>
        <v>0</v>
      </c>
      <c r="AI40" s="9">
        <f>COUNTIFS(AntibodyDrugList!$I$3:$I$176,"*Myocardial ischemia*",AntibodyDrugList!K$3:K$176,"*MAPK signaling pathway*")</f>
        <v>0</v>
      </c>
      <c r="AJ40" s="9">
        <f>COUNTIFS(AntibodyDrugList!$I$3:$I$176,"*Myocardial ischemia*",AntibodyDrugList!K$3:K$176,"*Rheumatoid arthritis*")</f>
        <v>0</v>
      </c>
      <c r="AK40" s="9">
        <f>COUNTIFS(AntibodyDrugList!$I$3:$I$176,"*Myocardial ischemia*",AntibodyDrugList!K$3:K$176,"*Cell adhesion molecules*")</f>
        <v>0</v>
      </c>
      <c r="AL40" s="9">
        <f>COUNTIFS(AntibodyDrugList!$I$3:$I$176,"*Myocardial ischemia*",AntibodyDrugList!K$3:K$176,"*Focal adhesion*")</f>
        <v>1</v>
      </c>
      <c r="AM40" s="9">
        <f>COUNTIFS(AntibodyDrugList!$I$3:$I$176,"*Myocardial ischemia*",AntibodyDrugList!K$3:K$176,"*Jak-STAT signaling pathway*")</f>
        <v>0</v>
      </c>
      <c r="AN40" s="9">
        <f>COUNTIFS(AntibodyDrugList!$I$3:$I$176,"*Myocardial ischemia*",AntibodyDrugList!K$3:K$176,"*Pathways in cancer*")</f>
        <v>0</v>
      </c>
      <c r="AO40" s="9">
        <f>COUNTIFS(AntibodyDrugList!$I$3:$I$176,"*Myocardial ischemia*",AntibodyDrugList!K$3:K$176,"*ErbB signaling pathway*")</f>
        <v>0</v>
      </c>
      <c r="AP40" s="9">
        <f>COUNTIFS(AntibodyDrugList!$I$3:$I$176,"*Myocardial ischemia*",AntibodyDrugList!K$3:K$176,"*Apoptosis*")</f>
        <v>0</v>
      </c>
      <c r="AQ40" s="9">
        <f>COUNTIFS(AntibodyDrugList!$I$3:$I$176,"*Myocardial ischemia*",AntibodyDrugList!K$3:K$176,"*Calcium signaling pathway*")</f>
        <v>0</v>
      </c>
      <c r="AR40" s="9">
        <f>COUNTIFS(AntibodyDrugList!$I$3:$I$176,"*Myocardial ischemia*",AntibodyDrugList!K$3:K$176,"*T cell receptor signaling pathway*")</f>
        <v>0</v>
      </c>
      <c r="AS40" s="9">
        <f>COUNTIFS(AntibodyDrugList!$I$3:$I$176,"*Myocardial ischemia*",AntibodyDrugList!K$3:K$176,"*TGF-beta signaling pathway*")</f>
        <v>0</v>
      </c>
      <c r="AT40" s="9">
        <f>COUNTIFS(AntibodyDrugList!$I$3:$I$176,"*Myocardial ischemia*",AntibodyDrugList!K$3:K$176,"*VEGF signaling pathway*")</f>
        <v>0</v>
      </c>
      <c r="AU40" s="9">
        <f>COUNTIFS(AntibodyDrugList!$I$3:$I$176,"*Myocardial ischemia*",AntibodyDrugList!K$3:K$176,"*Adherens junction*")</f>
        <v>0</v>
      </c>
      <c r="AV40" s="9">
        <f>COUNTIFS(AntibodyDrugList!$I$3:$I$176,"*Myocardial ischemia*",AntibodyDrugList!K$3:K$176,"*Adipocytokine signaling pathway*")</f>
        <v>0</v>
      </c>
      <c r="AW40" s="9">
        <f>COUNTIFS(AntibodyDrugList!$I$3:$I$176,"*Myocardial ischemia*",AntibodyDrugList!K$3:K$176,"*Antigen processing and presentation*")</f>
        <v>0</v>
      </c>
      <c r="AX40" s="9">
        <f>COUNTIFS(AntibodyDrugList!$I$3:$I$176,"*Myocardial ischemia*",AntibodyDrugList!K$3:K$176,"*ECM-receptor interaction*")</f>
        <v>1</v>
      </c>
      <c r="AY40" s="9">
        <f>COUNTIFS(AntibodyDrugList!$I$3:$I$176,"*Myocardial ischemia*",AntibodyDrugList!K$3:K$176,"*NOD-like receptor signaling pathway*")</f>
        <v>0</v>
      </c>
      <c r="AZ40" s="9">
        <f>COUNTIFS(AntibodyDrugList!$I$3:$I$176,"*Myocardial ischemia*",AntibodyDrugList!K$3:K$176,"*Natural killer cell mediated cytotoxicity*")</f>
        <v>0</v>
      </c>
      <c r="BA40" s="3">
        <f>COUNTIFS(AntibodyDrugList!$I$3:$I$176,"*Myocardial ischemia*",AntibodyDrugList!K$3:K$176,"*Toll-like receptor signaling pathway*")</f>
        <v>0</v>
      </c>
      <c r="BB40" s="20">
        <f t="shared" si="0"/>
        <v>2</v>
      </c>
    </row>
    <row r="41" spans="19:54" ht="11.7" customHeight="1" x14ac:dyDescent="0.25">
      <c r="S41" s="104"/>
      <c r="T41" s="65" t="s">
        <v>370</v>
      </c>
      <c r="U41" s="67" t="s">
        <v>1286</v>
      </c>
      <c r="V41" s="68" t="s">
        <v>1287</v>
      </c>
      <c r="AD41" s="91"/>
      <c r="AE41" s="9" t="s">
        <v>237</v>
      </c>
      <c r="AF41" s="12"/>
      <c r="AG41" s="9">
        <f>COUNTIFS(AntibodyDrugList!$I$3:$I$176,"*Ulcerative colitis*",AntibodyDrugList!K$3:K$176,"*Cytokine-cytokine receptor interaction*")</f>
        <v>6</v>
      </c>
      <c r="AH41" s="9">
        <f>COUNTIFS(AntibodyDrugList!$I$3:$I$176,"*Ulcerative colitis*",AntibodyDrugList!K$3:K$176,"*Hematopoietic cell lineage*")</f>
        <v>0</v>
      </c>
      <c r="AI41" s="9">
        <f>COUNTIFS(AntibodyDrugList!$I$3:$I$176,"*Ulcerative colitis*",AntibodyDrugList!K$3:K$176,"*MAPK signaling pathway*")</f>
        <v>6</v>
      </c>
      <c r="AJ41" s="9">
        <f>COUNTIFS(AntibodyDrugList!$I$3:$I$176,"*Ulcerative colitis*",AntibodyDrugList!K$3:K$176,"*Rheumatoid arthritis*")</f>
        <v>6</v>
      </c>
      <c r="AK41" s="9">
        <f>COUNTIFS(AntibodyDrugList!$I$3:$I$176,"*Ulcerative colitis*",AntibodyDrugList!K$3:K$176,"*Cell adhesion molecules*")</f>
        <v>1</v>
      </c>
      <c r="AL41" s="9">
        <f>COUNTIFS(AntibodyDrugList!$I$3:$I$176,"*Ulcerative colitis*",AntibodyDrugList!K$3:K$176,"*Focal adhesion*")</f>
        <v>0</v>
      </c>
      <c r="AM41" s="9">
        <f>COUNTIFS(AntibodyDrugList!$I$3:$I$176,"*Ulcerative colitis*",AntibodyDrugList!K$3:K$176,"*Jak-STAT signaling pathway*")</f>
        <v>0</v>
      </c>
      <c r="AN41" s="9">
        <f>COUNTIFS(AntibodyDrugList!$I$3:$I$176,"*Ulcerative colitis*",AntibodyDrugList!K$3:K$176,"*Pathways in cancer*")</f>
        <v>0</v>
      </c>
      <c r="AO41" s="9">
        <f>COUNTIFS(AntibodyDrugList!$I$3:$I$176,"*Ulcerative colitis*",AntibodyDrugList!K$3:K$176,"*ErbB signaling pathway*")</f>
        <v>0</v>
      </c>
      <c r="AP41" s="9">
        <f>COUNTIFS(AntibodyDrugList!$I$3:$I$176,"*Ulcerative colitis*",AntibodyDrugList!K$3:K$176,"*Apoptosis*")</f>
        <v>6</v>
      </c>
      <c r="AQ41" s="9">
        <f>COUNTIFS(AntibodyDrugList!$I$3:$I$176,"*Ulcerative colitis*",AntibodyDrugList!K$3:K$176,"*Calcium signaling pathway*")</f>
        <v>0</v>
      </c>
      <c r="AR41" s="9">
        <f>COUNTIFS(AntibodyDrugList!$I$3:$I$176,"*Ulcerative colitis*",AntibodyDrugList!K$3:K$176,"*T cell receptor signaling pathway*")</f>
        <v>0</v>
      </c>
      <c r="AS41" s="9">
        <f>COUNTIFS(AntibodyDrugList!$I$3:$I$176,"*Ulcerative colitis*",AntibodyDrugList!K$3:K$176,"*TGF-beta signaling pathway*")</f>
        <v>6</v>
      </c>
      <c r="AT41" s="9">
        <f>COUNTIFS(AntibodyDrugList!$I$3:$I$176,"*Ulcerative colitis*",AntibodyDrugList!K$3:K$176,"*VEGF signaling pathway*")</f>
        <v>0</v>
      </c>
      <c r="AU41" s="9">
        <f>COUNTIFS(AntibodyDrugList!$I$3:$I$176,"*Ulcerative colitis*",AntibodyDrugList!K$3:K$176,"*Adherens junction*")</f>
        <v>0</v>
      </c>
      <c r="AV41" s="9">
        <f>COUNTIFS(AntibodyDrugList!$I$3:$I$176,"*Ulcerative colitis*",AntibodyDrugList!K$3:K$176,"*Adipocytokine signaling pathway*")</f>
        <v>4</v>
      </c>
      <c r="AW41" s="9">
        <f>COUNTIFS(AntibodyDrugList!$I$3:$I$176,"*Ulcerative colitis*",AntibodyDrugList!K$3:K$176,"*Antigen processing and presentation*")</f>
        <v>6</v>
      </c>
      <c r="AX41" s="9">
        <f>COUNTIFS(AntibodyDrugList!$I$3:$I$176,"*Ulcerative colitis*",AntibodyDrugList!K$3:K$176,"*ECM-receptor interaction*")</f>
        <v>1</v>
      </c>
      <c r="AY41" s="9">
        <f>COUNTIFS(AntibodyDrugList!$I$3:$I$176,"*Ulcerative colitis*",AntibodyDrugList!K$3:K$176,"*NOD-like receptor signaling pathway*")</f>
        <v>0</v>
      </c>
      <c r="AZ41" s="9">
        <f>COUNTIFS(AntibodyDrugList!$I$3:$I$176,"*Ulcerative colitis*",AntibodyDrugList!K$3:K$176,"*Natural killer cell mediated cytotoxicity*")</f>
        <v>2</v>
      </c>
      <c r="BA41" s="3">
        <f>COUNTIFS(AntibodyDrugList!$I$3:$I$176,"*Ulcerative colitis*",AntibodyDrugList!K$3:K$176,"*Toll-like receptor signaling pathway*")</f>
        <v>0</v>
      </c>
      <c r="BB41" s="20">
        <f t="shared" si="0"/>
        <v>44</v>
      </c>
    </row>
    <row r="42" spans="19:54" ht="11.7" customHeight="1" x14ac:dyDescent="0.25">
      <c r="S42" s="104"/>
      <c r="T42" s="65" t="s">
        <v>333</v>
      </c>
      <c r="U42" s="67" t="s">
        <v>1331</v>
      </c>
      <c r="V42" s="20" t="s">
        <v>850</v>
      </c>
      <c r="AD42" s="91"/>
      <c r="AE42" s="9" t="s">
        <v>232</v>
      </c>
      <c r="AF42" s="12"/>
      <c r="AG42" s="9">
        <f>COUNTIFS(AntibodyDrugList!$I$3:$I$176,"*Muckle-wells syndrome*",AntibodyDrugList!K$3:K$176,"*Cytokine-cytokine receptor interaction*")</f>
        <v>1</v>
      </c>
      <c r="AH42" s="9">
        <f>COUNTIFS(AntibodyDrugList!$I$3:$I$176,"*Muckle-wells syndrome*",AntibodyDrugList!K$3:K$176,"*Hematopoietic cell lineage*")</f>
        <v>0</v>
      </c>
      <c r="AI42" s="9">
        <f>COUNTIFS(AntibodyDrugList!$I$3:$I$176,"*Muckle-wells syndrome*",AntibodyDrugList!K$3:K$176,"*MAPK signaling pathway*")</f>
        <v>1</v>
      </c>
      <c r="AJ42" s="9">
        <f>COUNTIFS(AntibodyDrugList!$I$3:$I$176,"*Muckle-wells syndrome*",AntibodyDrugList!K$3:K$176,"*Rheumatoid arthritis*")</f>
        <v>0</v>
      </c>
      <c r="AK42" s="9">
        <f>COUNTIFS(AntibodyDrugList!$I$3:$I$176,"*Muckle-wells syndrome*",AntibodyDrugList!K$3:K$176,"*Cell adhesion molecules*")</f>
        <v>0</v>
      </c>
      <c r="AL42" s="9">
        <f>COUNTIFS(AntibodyDrugList!$I$3:$I$176,"*Muckle-wells syndrome*",AntibodyDrugList!K$3:K$176,"*Focal adhesion*")</f>
        <v>0</v>
      </c>
      <c r="AM42" s="9">
        <f>COUNTIFS(AntibodyDrugList!$I$3:$I$176,"*Muckle-wells syndrome*",AntibodyDrugList!K$3:K$176,"*Jak-STAT signaling pathway*")</f>
        <v>0</v>
      </c>
      <c r="AN42" s="9">
        <f>COUNTIFS(AntibodyDrugList!$I$3:$I$176,"*Muckle-wells syndrome*",AntibodyDrugList!K$3:K$176,"*Pathways in cancer*")</f>
        <v>0</v>
      </c>
      <c r="AO42" s="9">
        <f>COUNTIFS(AntibodyDrugList!$I$3:$I$176,"*Muckle-wells syndrome*",AntibodyDrugList!K$3:K$176,"*ErbB signaling pathway*")</f>
        <v>0</v>
      </c>
      <c r="AP42" s="9">
        <f>COUNTIFS(AntibodyDrugList!$I$3:$I$176,"*Muckle-wells syndrome*",AntibodyDrugList!K$3:K$176,"*Apoptosis*")</f>
        <v>0</v>
      </c>
      <c r="AQ42" s="9">
        <f>COUNTIFS(AntibodyDrugList!$I$3:$I$176,"*Muckle-wells syndrome*",AntibodyDrugList!K$3:K$176,"*Calcium signaling pathway*")</f>
        <v>0</v>
      </c>
      <c r="AR42" s="9">
        <f>COUNTIFS(AntibodyDrugList!$I$3:$I$176,"*Muckle-wells syndrome*",AntibodyDrugList!K$3:K$176,"*T cell receptor signaling pathway*")</f>
        <v>0</v>
      </c>
      <c r="AS42" s="9">
        <f>COUNTIFS(AntibodyDrugList!$I$3:$I$176,"*Muckle-wells syndrome*",AntibodyDrugList!K$3:K$176,"*TGF-beta signaling pathway*")</f>
        <v>0</v>
      </c>
      <c r="AT42" s="9">
        <f>COUNTIFS(AntibodyDrugList!$I$3:$I$176,"*Muckle-wells syndrome*",AntibodyDrugList!K$3:K$176,"*VEGF signaling pathway*")</f>
        <v>0</v>
      </c>
      <c r="AU42" s="9">
        <f>COUNTIFS(AntibodyDrugList!$I$3:$I$176,"*Muckle-wells syndrome*",AntibodyDrugList!K$3:K$176,"*Adherens junction*")</f>
        <v>0</v>
      </c>
      <c r="AV42" s="9">
        <f>COUNTIFS(AntibodyDrugList!$I$3:$I$176,"*Muckle-wells syndrome*",AntibodyDrugList!K$3:K$176,"*Adipocytokine signaling pathway*")</f>
        <v>0</v>
      </c>
      <c r="AW42" s="9">
        <f>COUNTIFS(AntibodyDrugList!$I$3:$I$176,"*Muckle-wells syndrome*",AntibodyDrugList!K$3:K$176,"*Antigen processing and presentation*")</f>
        <v>0</v>
      </c>
      <c r="AX42" s="9">
        <f>COUNTIFS(AntibodyDrugList!$I$3:$I$176,"*Muckle-wells syndrome*",AntibodyDrugList!K$3:K$176,"*ECM-receptor interaction*")</f>
        <v>0</v>
      </c>
      <c r="AY42" s="9">
        <f>COUNTIFS(AntibodyDrugList!$I$3:$I$176,"*Muckle-wells syndrome*",AntibodyDrugList!K$3:K$176,"*NOD-like receptor signaling pathway*")</f>
        <v>1</v>
      </c>
      <c r="AZ42" s="9">
        <f>COUNTIFS(AntibodyDrugList!$I$3:$I$176,"*Muckle-wells syndrome*",AntibodyDrugList!K$3:K$176,"*Natural killer cell mediated cytotoxicity*")</f>
        <v>0</v>
      </c>
      <c r="BA42" s="3">
        <f>COUNTIFS(AntibodyDrugList!$I$3:$I$176,"*Muckle-wells syndrome*",AntibodyDrugList!K$3:K$176,"*Toll-like receptor signaling pathway*")</f>
        <v>0</v>
      </c>
      <c r="BB42" s="20">
        <f t="shared" si="0"/>
        <v>3</v>
      </c>
    </row>
    <row r="43" spans="19:54" ht="11.7" customHeight="1" x14ac:dyDescent="0.25">
      <c r="S43" s="104"/>
      <c r="T43" s="65" t="s">
        <v>358</v>
      </c>
      <c r="U43" s="67" t="s">
        <v>1288</v>
      </c>
      <c r="V43" s="68" t="s">
        <v>1289</v>
      </c>
      <c r="AD43" s="91"/>
      <c r="AE43" s="9" t="s">
        <v>90</v>
      </c>
      <c r="AF43" s="12"/>
      <c r="AG43" s="9">
        <f>COUNTIFS(AntibodyDrugList!$I$3:$I$176,"*Anthrax infection*",AntibodyDrugList!K$3:K$176,"*Cytokine-cytokine receptor interaction*")</f>
        <v>0</v>
      </c>
      <c r="AH43" s="9">
        <f>COUNTIFS(AntibodyDrugList!$I$3:$I$176,"*Anthrax infection*",AntibodyDrugList!K$3:K$176,"*Hematopoietic cell lineage*")</f>
        <v>0</v>
      </c>
      <c r="AI43" s="9">
        <f>COUNTIFS(AntibodyDrugList!$I$3:$I$176,"*Anthrax infection*",AntibodyDrugList!K$3:K$176,"*MAPK signaling pathway*")</f>
        <v>0</v>
      </c>
      <c r="AJ43" s="9">
        <f>COUNTIFS(AntibodyDrugList!$I$3:$I$176,"*Anthrax infection*",AntibodyDrugList!K$3:K$176,"*Rheumatoid arthritis*")</f>
        <v>0</v>
      </c>
      <c r="AK43" s="9">
        <f>COUNTIFS(AntibodyDrugList!$I$3:$I$176,"*Anthrax infection*",AntibodyDrugList!K$3:K$176,"*Cell adhesion molecules*")</f>
        <v>0</v>
      </c>
      <c r="AL43" s="9">
        <f>COUNTIFS(AntibodyDrugList!$I$3:$I$176,"*Anthrax infection*",AntibodyDrugList!K$3:K$176,"*Focal adhesion*")</f>
        <v>0</v>
      </c>
      <c r="AM43" s="9">
        <f>COUNTIFS(AntibodyDrugList!$I$3:$I$176,"*Anthrax infection*",AntibodyDrugList!K$3:K$176,"*Jak-STAT signaling pathway*")</f>
        <v>0</v>
      </c>
      <c r="AN43" s="9">
        <f>COUNTIFS(AntibodyDrugList!$I$3:$I$176,"*Anthrax infection*",AntibodyDrugList!K$3:K$176,"*Pathways in cancer*")</f>
        <v>0</v>
      </c>
      <c r="AO43" s="9">
        <f>COUNTIFS(AntibodyDrugList!$I$3:$I$176,"*Anthrax infection*",AntibodyDrugList!K$3:K$176,"*ErbB signaling pathway*")</f>
        <v>0</v>
      </c>
      <c r="AP43" s="9">
        <f>COUNTIFS(AntibodyDrugList!$I$3:$I$176,"*Anthrax infection*",AntibodyDrugList!K$3:K$176,"*Apoptosis*")</f>
        <v>0</v>
      </c>
      <c r="AQ43" s="9">
        <f>COUNTIFS(AntibodyDrugList!$I$3:$I$176,"*Anthrax infection*",AntibodyDrugList!K$3:K$176,"*Calcium signaling pathway*")</f>
        <v>0</v>
      </c>
      <c r="AR43" s="9">
        <f>COUNTIFS(AntibodyDrugList!$I$3:$I$176,"*Anthrax infection*",AntibodyDrugList!K$3:K$176,"*T cell receptor signaling pathway*")</f>
        <v>0</v>
      </c>
      <c r="AS43" s="9">
        <f>COUNTIFS(AntibodyDrugList!$I$3:$I$176,"*Anthrax infection*",AntibodyDrugList!K$3:K$176,"*TGF-beta signaling pathway*")</f>
        <v>0</v>
      </c>
      <c r="AT43" s="9">
        <f>COUNTIFS(AntibodyDrugList!$I$3:$I$176,"*Anthrax infection*",AntibodyDrugList!K$3:K$176,"*VEGF signaling pathway*")</f>
        <v>0</v>
      </c>
      <c r="AU43" s="9">
        <f>COUNTIFS(AntibodyDrugList!$I$3:$I$176,"*Anthrax infection*",AntibodyDrugList!K$3:K$176,"*Adherens junction*")</f>
        <v>0</v>
      </c>
      <c r="AV43" s="9">
        <f>COUNTIFS(AntibodyDrugList!$I$3:$I$176,"*Anthrax infection*",AntibodyDrugList!K$3:K$176,"*Adipocytokine signaling pathway*")</f>
        <v>0</v>
      </c>
      <c r="AW43" s="9">
        <f>COUNTIFS(AntibodyDrugList!$I$3:$I$176,"*Anthrax infection*",AntibodyDrugList!K$3:K$176,"*Antigen processing and presentation*")</f>
        <v>0</v>
      </c>
      <c r="AX43" s="9">
        <f>COUNTIFS(AntibodyDrugList!$I$3:$I$176,"*Anthrax infection*",AntibodyDrugList!K$3:K$176,"*ECM-receptor interaction*")</f>
        <v>0</v>
      </c>
      <c r="AY43" s="9">
        <f>COUNTIFS(AntibodyDrugList!$I$3:$I$176,"*Anthrax infection*",AntibodyDrugList!K$3:K$176,"*NOD-like receptor signaling pathway*")</f>
        <v>1</v>
      </c>
      <c r="AZ43" s="9">
        <f>COUNTIFS(AntibodyDrugList!$I$3:$I$176,"*Anthrax infection*",AntibodyDrugList!K$3:K$176,"*Natural killer cell mediated cytotoxicity*")</f>
        <v>0</v>
      </c>
      <c r="BA43" s="3">
        <f>COUNTIFS(AntibodyDrugList!$I$3:$I$176,"*Anthrax infection*",AntibodyDrugList!K$3:K$176,"*Toll-like receptor signaling pathway*")</f>
        <v>0</v>
      </c>
      <c r="BB43" s="20">
        <f t="shared" si="0"/>
        <v>1</v>
      </c>
    </row>
    <row r="44" spans="19:54" ht="11.7" customHeight="1" x14ac:dyDescent="0.25">
      <c r="S44" s="104"/>
      <c r="T44" s="65" t="s">
        <v>344</v>
      </c>
      <c r="U44" s="66" t="s">
        <v>524</v>
      </c>
      <c r="V44" s="20"/>
      <c r="AD44" s="91"/>
      <c r="AE44" s="9" t="s">
        <v>300</v>
      </c>
      <c r="AF44" s="12"/>
      <c r="AG44" s="9">
        <f>COUNTIFS(AntibodyDrugList!$I$3:$I$176,"*CAPS*",AntibodyDrugList!K$3:K$176,"*Cytokine-cytokine receptor interaction*")</f>
        <v>1</v>
      </c>
      <c r="AH44" s="9">
        <f>COUNTIFS(AntibodyDrugList!$I$3:$I$176,"*CAPS*",AntibodyDrugList!K$3:K$176,"*Hematopoietic cell lineage*")</f>
        <v>0</v>
      </c>
      <c r="AI44" s="9">
        <f>COUNTIFS(AntibodyDrugList!$I$3:$I$176,"*CAPS*",AntibodyDrugList!K$3:K$176,"*MAPK signaling pathway*")</f>
        <v>1</v>
      </c>
      <c r="AJ44" s="9">
        <f>COUNTIFS(AntibodyDrugList!$I$3:$I$176,"*CAPS*",AntibodyDrugList!K$3:K$176,"*Rheumatoid arthritis*")</f>
        <v>0</v>
      </c>
      <c r="AK44" s="9">
        <f>COUNTIFS(AntibodyDrugList!$I$3:$I$176,"*CAPS*",AntibodyDrugList!K$3:K$176,"*Cell adhesion molecules*")</f>
        <v>0</v>
      </c>
      <c r="AL44" s="9">
        <f>COUNTIFS(AntibodyDrugList!$I$3:$I$176,"*CAPS*",AntibodyDrugList!K$3:K$176,"*Focal adhesion*")</f>
        <v>0</v>
      </c>
      <c r="AM44" s="9">
        <f>COUNTIFS(AntibodyDrugList!$I$3:$I$176,"*CAPS*",AntibodyDrugList!K$3:K$176,"*Jak-STAT signaling pathway*")</f>
        <v>0</v>
      </c>
      <c r="AN44" s="9">
        <f>COUNTIFS(AntibodyDrugList!$I$3:$I$176,"*CAPS*",AntibodyDrugList!K$3:K$176,"*Pathways in cancer*")</f>
        <v>0</v>
      </c>
      <c r="AO44" s="9">
        <f>COUNTIFS(AntibodyDrugList!$I$3:$I$176,"*CAPS*",AntibodyDrugList!K$3:K$176,"*ErbB signaling pathway*")</f>
        <v>0</v>
      </c>
      <c r="AP44" s="9">
        <f>COUNTIFS(AntibodyDrugList!$I$3:$I$176,"*CAPS*",AntibodyDrugList!K$3:K$176,"*Apoptosis*")</f>
        <v>1</v>
      </c>
      <c r="AQ44" s="9">
        <f>COUNTIFS(AntibodyDrugList!$I$3:$I$176,"*CAPS*",AntibodyDrugList!K$3:K$176,"*Calcium signaling pathway*")</f>
        <v>0</v>
      </c>
      <c r="AR44" s="9">
        <f>COUNTIFS(AntibodyDrugList!$I$3:$I$176,"*CAPS*",AntibodyDrugList!K$3:K$176,"*T cell receptor signaling pathway*")</f>
        <v>0</v>
      </c>
      <c r="AS44" s="9">
        <f>COUNTIFS(AntibodyDrugList!$I$3:$I$176,"*CAPS*",AntibodyDrugList!K$3:K$176,"*TGF-beta signaling pathway*")</f>
        <v>0</v>
      </c>
      <c r="AT44" s="9">
        <f>COUNTIFS(AntibodyDrugList!$I$3:$I$176,"*CAPS*",AntibodyDrugList!K$3:K$176,"*VEGF signaling pathway*")</f>
        <v>0</v>
      </c>
      <c r="AU44" s="9">
        <f>COUNTIFS(AntibodyDrugList!$I$3:$I$176,"*CAPS*",AntibodyDrugList!K$3:K$176,"*Adherens junction*")</f>
        <v>0</v>
      </c>
      <c r="AV44" s="9">
        <f>COUNTIFS(AntibodyDrugList!$I$3:$I$176,"*CAPS*",AntibodyDrugList!K$3:K$176,"*Adipocytokine signaling pathway*")</f>
        <v>0</v>
      </c>
      <c r="AW44" s="9">
        <f>COUNTIFS(AntibodyDrugList!$I$3:$I$176,"*CAPS*",AntibodyDrugList!K$3:K$176,"*Antigen processing and presentation*")</f>
        <v>0</v>
      </c>
      <c r="AX44" s="9">
        <f>COUNTIFS(AntibodyDrugList!$I$3:$I$176,"*CAPS*",AntibodyDrugList!K$3:K$176,"*ECM-receptor interaction*")</f>
        <v>0</v>
      </c>
      <c r="AY44" s="9">
        <f>COUNTIFS(AntibodyDrugList!$I$3:$I$176,"*CAPS*",AntibodyDrugList!K$3:K$176,"*NOD-like receptor signaling pathway*")</f>
        <v>1</v>
      </c>
      <c r="AZ44" s="9">
        <f>COUNTIFS(AntibodyDrugList!$I$3:$I$176,"*CAPS*",AntibodyDrugList!K$3:K$176,"*Natural killer cell mediated cytotoxicity*")</f>
        <v>0</v>
      </c>
      <c r="BA44" s="3">
        <f>COUNTIFS(AntibodyDrugList!$I$3:$I$176,"*CAPS*",AntibodyDrugList!K$3:K$176,"*Toll-like receptor signaling pathway*")</f>
        <v>1</v>
      </c>
      <c r="BB44" s="20">
        <f t="shared" si="0"/>
        <v>5</v>
      </c>
    </row>
    <row r="45" spans="19:54" ht="11.7" customHeight="1" x14ac:dyDescent="0.25">
      <c r="S45" s="104"/>
      <c r="T45" s="65" t="s">
        <v>343</v>
      </c>
      <c r="U45" s="66" t="s">
        <v>55</v>
      </c>
      <c r="V45" s="20" t="s">
        <v>866</v>
      </c>
      <c r="AD45" s="91"/>
      <c r="AE45" s="9" t="s">
        <v>236</v>
      </c>
      <c r="AF45" s="12"/>
      <c r="AG45" s="9">
        <f>COUNTIFS(AntibodyDrugList!$I$3:$I$176,"*Transplant rejections*",AntibodyDrugList!K$3:K$176,"*Cytokine-cytokine receptor interaction*")</f>
        <v>0</v>
      </c>
      <c r="AH45" s="9">
        <f>COUNTIFS(AntibodyDrugList!$I$3:$I$176,"*Transplant rejections*",AntibodyDrugList!K$3:K$176,"*Hematopoietic cell lineage*")</f>
        <v>0</v>
      </c>
      <c r="AI45" s="9">
        <f>COUNTIFS(AntibodyDrugList!$I$3:$I$176,"*Transplant rejections*",AntibodyDrugList!K$3:K$176,"*MAPK signaling pathway*")</f>
        <v>0</v>
      </c>
      <c r="AJ45" s="9">
        <f>COUNTIFS(AntibodyDrugList!$I$3:$I$176,"*Transplant rejections*",AntibodyDrugList!K$3:K$176,"*Rheumatoid arthritis*")</f>
        <v>0</v>
      </c>
      <c r="AK45" s="9">
        <f>COUNTIFS(AntibodyDrugList!$I$3:$I$176,"*Transplant rejections*",AntibodyDrugList!K$3:K$176,"*Cell adhesion molecules*")</f>
        <v>1</v>
      </c>
      <c r="AL45" s="9">
        <f>COUNTIFS(AntibodyDrugList!$I$3:$I$176,"*Transplant rejections*",AntibodyDrugList!K$3:K$176,"*Focal adhesion*")</f>
        <v>0</v>
      </c>
      <c r="AM45" s="9">
        <f>COUNTIFS(AntibodyDrugList!$I$3:$I$176,"*Transplant rejections*",AntibodyDrugList!K$3:K$176,"*Jak-STAT signaling pathway*")</f>
        <v>0</v>
      </c>
      <c r="AN45" s="9">
        <f>COUNTIFS(AntibodyDrugList!$I$3:$I$176,"*Transplant rejections*",AntibodyDrugList!K$3:K$176,"*Pathways in cancer*")</f>
        <v>0</v>
      </c>
      <c r="AO45" s="9">
        <f>COUNTIFS(AntibodyDrugList!$I$3:$I$176,"*Transplant rejections*",AntibodyDrugList!K$3:K$176,"*ErbB signaling pathway*")</f>
        <v>0</v>
      </c>
      <c r="AP45" s="9">
        <f>COUNTIFS(AntibodyDrugList!$I$3:$I$176,"*Transplant rejections*",AntibodyDrugList!K$3:K$176,"*Apoptosis*")</f>
        <v>0</v>
      </c>
      <c r="AQ45" s="9">
        <f>COUNTIFS(AntibodyDrugList!$I$3:$I$176,"*Transplant rejections*",AntibodyDrugList!K$3:K$176,"*Calcium signaling pathway*")</f>
        <v>0</v>
      </c>
      <c r="AR45" s="9">
        <f>COUNTIFS(AntibodyDrugList!$I$3:$I$176,"*Transplant rejections*",AntibodyDrugList!K$3:K$176,"*T cell receptor signaling pathway*")</f>
        <v>0</v>
      </c>
      <c r="AS45" s="9">
        <f>COUNTIFS(AntibodyDrugList!$I$3:$I$176,"*Transplant rejections*",AntibodyDrugList!K$3:K$176,"*TGF-beta signaling pathway*")</f>
        <v>0</v>
      </c>
      <c r="AT45" s="9">
        <f>COUNTIFS(AntibodyDrugList!$I$3:$I$176,"*Transplant rejections*",AntibodyDrugList!K$3:K$176,"*VEGF signaling pathway*")</f>
        <v>0</v>
      </c>
      <c r="AU45" s="9">
        <f>COUNTIFS(AntibodyDrugList!$I$3:$I$176,"*Transplant rejections*",AntibodyDrugList!K$3:K$176,"*Adherens junction*")</f>
        <v>0</v>
      </c>
      <c r="AV45" s="9">
        <f>COUNTIFS(AntibodyDrugList!$I$3:$I$176,"*Transplant rejections*",AntibodyDrugList!K$3:K$176,"*Adipocytokine signaling pathway*")</f>
        <v>0</v>
      </c>
      <c r="AW45" s="9">
        <f>COUNTIFS(AntibodyDrugList!$I$3:$I$176,"*Transplant rejections*",AntibodyDrugList!K$3:K$176,"*Antigen processing and presentation*")</f>
        <v>0</v>
      </c>
      <c r="AX45" s="9">
        <f>COUNTIFS(AntibodyDrugList!$I$3:$I$176,"*Transplant rejections*",AntibodyDrugList!K$3:K$176,"*ECM-receptor interaction*")</f>
        <v>0</v>
      </c>
      <c r="AY45" s="9">
        <f>COUNTIFS(AntibodyDrugList!$I$3:$I$176,"*Transplant rejections*",AntibodyDrugList!K$3:K$176,"*NOD-like receptor signaling pathway*")</f>
        <v>0</v>
      </c>
      <c r="AZ45" s="9">
        <f>COUNTIFS(AntibodyDrugList!$I$3:$I$176,"*Transplant rejections*",AntibodyDrugList!K$3:K$176,"*Natural killer cell mediated cytotoxicity*")</f>
        <v>1</v>
      </c>
      <c r="BA45" s="3">
        <f>COUNTIFS(AntibodyDrugList!$I$3:$I$176,"*Transplant rejections*",AntibodyDrugList!K$3:K$176,"*Toll-like receptor signaling pathway*")</f>
        <v>0</v>
      </c>
      <c r="BB45" s="20">
        <f t="shared" si="0"/>
        <v>2</v>
      </c>
    </row>
    <row r="46" spans="19:54" ht="11.7" customHeight="1" x14ac:dyDescent="0.25">
      <c r="S46" s="104"/>
      <c r="T46" s="65" t="s">
        <v>395</v>
      </c>
      <c r="U46" s="66" t="s">
        <v>51</v>
      </c>
      <c r="V46" s="20" t="s">
        <v>939</v>
      </c>
      <c r="AD46" s="91"/>
      <c r="AE46" s="9" t="s">
        <v>235</v>
      </c>
      <c r="AF46" s="12"/>
      <c r="AG46" s="9">
        <f>COUNTIFS(AntibodyDrugList!$I$3:$I$176,"*Pruritic*",AntibodyDrugList!K$3:K$176,"*Cytokine-cytokine receptor interaction*")</f>
        <v>0</v>
      </c>
      <c r="AH46" s="9">
        <f>COUNTIFS(AntibodyDrugList!$I$3:$I$176,"*Pruritic*",AntibodyDrugList!K$3:K$176,"*Hematopoietic cell lineage*")</f>
        <v>0</v>
      </c>
      <c r="AI46" s="9">
        <f>COUNTIFS(AntibodyDrugList!$I$3:$I$176,"*Pruritic*",AntibodyDrugList!K$3:K$176,"*MAPK signaling pathway*")</f>
        <v>0</v>
      </c>
      <c r="AJ46" s="9">
        <f>COUNTIFS(AntibodyDrugList!$I$3:$I$176,"*Pruritic*",AntibodyDrugList!K$3:K$176,"*Rheumatoid arthritis*")</f>
        <v>0</v>
      </c>
      <c r="AK46" s="9">
        <f>COUNTIFS(AntibodyDrugList!$I$3:$I$176,"*Pruritic*",AntibodyDrugList!K$3:K$176,"*Cell adhesion molecules*")</f>
        <v>1</v>
      </c>
      <c r="AL46" s="9">
        <f>COUNTIFS(AntibodyDrugList!$I$3:$I$176,"*Pruritic*",AntibodyDrugList!K$3:K$176,"*Focal adhesion*")</f>
        <v>0</v>
      </c>
      <c r="AM46" s="9">
        <f>COUNTIFS(AntibodyDrugList!$I$3:$I$176,"*Pruritic*",AntibodyDrugList!K$3:K$176,"*Jak-STAT signaling pathway*")</f>
        <v>0</v>
      </c>
      <c r="AN46" s="9">
        <f>COUNTIFS(AntibodyDrugList!$I$3:$I$176,"*Pruritic*",AntibodyDrugList!K$3:K$176,"*Pathways in cancer*")</f>
        <v>0</v>
      </c>
      <c r="AO46" s="9">
        <f>COUNTIFS(AntibodyDrugList!$I$3:$I$176,"*Pruritic*",AntibodyDrugList!K$3:K$176,"*ErbB signaling pathway*")</f>
        <v>0</v>
      </c>
      <c r="AP46" s="9">
        <f>COUNTIFS(AntibodyDrugList!$I$3:$I$176,"*Pruritic*",AntibodyDrugList!K$3:K$176,"*Apoptosis*")</f>
        <v>0</v>
      </c>
      <c r="AQ46" s="9">
        <f>COUNTIFS(AntibodyDrugList!$I$3:$I$176,"*Pruritic*",AntibodyDrugList!K$3:K$176,"*Calcium signaling pathway*")</f>
        <v>0</v>
      </c>
      <c r="AR46" s="9">
        <f>COUNTIFS(AntibodyDrugList!$I$3:$I$176,"*Pruritic*",AntibodyDrugList!K$3:K$176,"*T cell receptor signaling pathway*")</f>
        <v>0</v>
      </c>
      <c r="AS46" s="9">
        <f>COUNTIFS(AntibodyDrugList!$I$3:$I$176,"*Pruritic*",AntibodyDrugList!K$3:K$176,"*TGF-beta signaling pathway*")</f>
        <v>0</v>
      </c>
      <c r="AT46" s="9">
        <f>COUNTIFS(AntibodyDrugList!$I$3:$I$176,"*Pruritic*",AntibodyDrugList!K$3:K$176,"*VEGF signaling pathway*")</f>
        <v>0</v>
      </c>
      <c r="AU46" s="9">
        <f>COUNTIFS(AntibodyDrugList!$I$3:$I$176,"*Pruritic*",AntibodyDrugList!K$3:K$176,"*Adherens junction*")</f>
        <v>0</v>
      </c>
      <c r="AV46" s="9">
        <f>COUNTIFS(AntibodyDrugList!$I$3:$I$176,"*Pruritic*",AntibodyDrugList!K$3:K$176,"*Adipocytokine signaling pathway*")</f>
        <v>0</v>
      </c>
      <c r="AW46" s="9">
        <f>COUNTIFS(AntibodyDrugList!$I$3:$I$176,"*Pruritic*",AntibodyDrugList!K$3:K$176,"*Antigen processing and presentation*")</f>
        <v>0</v>
      </c>
      <c r="AX46" s="9">
        <f>COUNTIFS(AntibodyDrugList!$I$3:$I$176,"*Pruritic*",AntibodyDrugList!K$3:K$176,"*ECM-receptor interaction*")</f>
        <v>0</v>
      </c>
      <c r="AY46" s="9">
        <f>COUNTIFS(AntibodyDrugList!$I$3:$I$176,"*Pruritic*",AntibodyDrugList!K$3:K$176,"*NOD-like receptor signaling pathway*")</f>
        <v>0</v>
      </c>
      <c r="AZ46" s="9">
        <f>COUNTIFS(AntibodyDrugList!$I$3:$I$176,"*Pruritic*",AntibodyDrugList!K$3:K$176,"*Natural killer cell mediated cytotoxicity*")</f>
        <v>1</v>
      </c>
      <c r="BA46" s="3">
        <f>COUNTIFS(AntibodyDrugList!$I$3:$I$176,"*Pruritic*",AntibodyDrugList!K$3:K$176,"*Toll-like receptor signaling pathway*")</f>
        <v>0</v>
      </c>
      <c r="BB46" s="20">
        <f t="shared" si="0"/>
        <v>2</v>
      </c>
    </row>
    <row r="47" spans="19:54" ht="11.7" customHeight="1" x14ac:dyDescent="0.25">
      <c r="S47" s="104"/>
      <c r="T47" s="65" t="s">
        <v>340</v>
      </c>
      <c r="U47" s="66" t="s">
        <v>30</v>
      </c>
      <c r="V47" s="20" t="s">
        <v>857</v>
      </c>
      <c r="AD47" s="91"/>
      <c r="AE47" s="9" t="s">
        <v>234</v>
      </c>
      <c r="AF47" s="12"/>
      <c r="AG47" s="9">
        <f>COUNTIFS(AntibodyDrugList!$I$3:$I$176,"*Idiopathic arthritis*",AntibodyDrugList!K$3:K$176,"*Cytokine-cytokine receptor interaction*")</f>
        <v>3</v>
      </c>
      <c r="AH47" s="9">
        <f>COUNTIFS(AntibodyDrugList!$I$3:$I$176,"*Idiopathic arthritis*",AntibodyDrugList!K$3:K$176,"*Hematopoietic cell lineage*")</f>
        <v>1</v>
      </c>
      <c r="AI47" s="9">
        <f>COUNTIFS(AntibodyDrugList!$I$3:$I$176,"*Idiopathic arthritis*",AntibodyDrugList!K$3:K$176,"*MAPK signaling pathway*")</f>
        <v>2</v>
      </c>
      <c r="AJ47" s="9">
        <f>COUNTIFS(AntibodyDrugList!$I$3:$I$176,"*Idiopathic arthritis*",AntibodyDrugList!K$3:K$176,"*Rheumatoid arthritis*")</f>
        <v>3</v>
      </c>
      <c r="AK47" s="9">
        <f>COUNTIFS(AntibodyDrugList!$I$3:$I$176,"*Idiopathic arthritis*",AntibodyDrugList!K$3:K$176,"*Cell adhesion molecules*")</f>
        <v>1</v>
      </c>
      <c r="AL47" s="9">
        <f>COUNTIFS(AntibodyDrugList!$I$3:$I$176,"*Idiopathic arthritis*",AntibodyDrugList!K$3:K$176,"*Focal adhesion*")</f>
        <v>0</v>
      </c>
      <c r="AM47" s="9">
        <f>COUNTIFS(AntibodyDrugList!$I$3:$I$176,"*Idiopathic arthritis*",AntibodyDrugList!K$3:K$176,"*Jak-STAT signaling pathway*")</f>
        <v>1</v>
      </c>
      <c r="AN47" s="9">
        <f>COUNTIFS(AntibodyDrugList!$I$3:$I$176,"*Idiopathic arthritis*",AntibodyDrugList!K$3:K$176,"*Pathways in cancer*")</f>
        <v>0</v>
      </c>
      <c r="AO47" s="9">
        <f>COUNTIFS(AntibodyDrugList!$I$3:$I$176,"*Idiopathic arthritis*",AntibodyDrugList!K$3:K$176,"*ErbB signaling pathway*")</f>
        <v>0</v>
      </c>
      <c r="AP47" s="9">
        <f>COUNTIFS(AntibodyDrugList!$I$3:$I$176,"*Idiopathic arthritis*",AntibodyDrugList!K$3:K$176,"*Apoptosis*")</f>
        <v>2</v>
      </c>
      <c r="AQ47" s="9">
        <f>COUNTIFS(AntibodyDrugList!$I$3:$I$176,"*Idiopathic arthritis*",AntibodyDrugList!K$3:K$176,"*Calcium signaling pathway*")</f>
        <v>0</v>
      </c>
      <c r="AR47" s="9">
        <f>COUNTIFS(AntibodyDrugList!$I$3:$I$176,"*Idiopathic arthritis*",AntibodyDrugList!K$3:K$176,"*T cell receptor signaling pathway*")</f>
        <v>0</v>
      </c>
      <c r="AS47" s="9">
        <f>COUNTIFS(AntibodyDrugList!$I$3:$I$176,"*Idiopathic arthritis*",AntibodyDrugList!K$3:K$176,"*TGF-beta signaling pathway*")</f>
        <v>2</v>
      </c>
      <c r="AT47" s="9">
        <f>COUNTIFS(AntibodyDrugList!$I$3:$I$176,"*Idiopathic arthritis*",AntibodyDrugList!K$3:K$176,"*VEGF signaling pathway*")</f>
        <v>0</v>
      </c>
      <c r="AU47" s="9">
        <f>COUNTIFS(AntibodyDrugList!$I$3:$I$176,"*Idiopathic arthritis*",AntibodyDrugList!K$3:K$176,"*Adherens junction*")</f>
        <v>0</v>
      </c>
      <c r="AV47" s="9">
        <f>COUNTIFS(AntibodyDrugList!$I$3:$I$176,"*Idiopathic arthritis*",AntibodyDrugList!K$3:K$176,"*Adipocytokine signaling pathway*")</f>
        <v>0</v>
      </c>
      <c r="AW47" s="9">
        <f>COUNTIFS(AntibodyDrugList!$I$3:$I$176,"*Idiopathic arthritis*",AntibodyDrugList!K$3:K$176,"*Antigen processing and presentation*")</f>
        <v>2</v>
      </c>
      <c r="AX47" s="9">
        <f>COUNTIFS(AntibodyDrugList!$I$3:$I$176,"*Idiopathic arthritis*",AntibodyDrugList!K$3:K$176,"*ECM-receptor interaction*")</f>
        <v>0</v>
      </c>
      <c r="AY47" s="9">
        <f>COUNTIFS(AntibodyDrugList!$I$3:$I$176,"*Idiopathic arthritis*",AntibodyDrugList!K$3:K$176,"*NOD-like receptor signaling pathway*")</f>
        <v>0</v>
      </c>
      <c r="AZ47" s="9">
        <f>COUNTIFS(AntibodyDrugList!$I$3:$I$176,"*Idiopathic arthritis*",AntibodyDrugList!K$3:K$176,"*Natural killer cell mediated cytotoxicity*")</f>
        <v>2</v>
      </c>
      <c r="BA47" s="3">
        <f>COUNTIFS(AntibodyDrugList!$I$3:$I$176,"*Idiopathic arthritis*",AntibodyDrugList!K$3:K$176,"*Toll-like receptor signaling pathway*")</f>
        <v>1</v>
      </c>
      <c r="BB47" s="20">
        <f t="shared" si="0"/>
        <v>20</v>
      </c>
    </row>
    <row r="48" spans="19:54" ht="11.7" customHeight="1" x14ac:dyDescent="0.25">
      <c r="S48" s="104"/>
      <c r="T48" s="65" t="s">
        <v>340</v>
      </c>
      <c r="U48" s="67" t="s">
        <v>1290</v>
      </c>
      <c r="V48" s="68" t="s">
        <v>1332</v>
      </c>
      <c r="AD48" s="91"/>
      <c r="AE48" s="9" t="s">
        <v>67</v>
      </c>
      <c r="AF48" s="12"/>
      <c r="AG48" s="9">
        <f>COUNTIFS(AntibodyDrugList!$I$3:$I$176,"*All forms of osteoporosis or bone loss*",AntibodyDrugList!K$3:K$176,"*Cytokine-cytokine receptor interaction*")</f>
        <v>1</v>
      </c>
      <c r="AH48" s="9">
        <f>COUNTIFS(AntibodyDrugList!$I$3:$I$176,"*All forms of osteoporosis or bone loss*",AntibodyDrugList!K$3:K$176,"*Hematopoietic cell lineage*")</f>
        <v>0</v>
      </c>
      <c r="AI48" s="9">
        <f>COUNTIFS(AntibodyDrugList!$I$3:$I$176,"*All forms of osteoporosis or bone loss*",AntibodyDrugList!K$3:K$176,"*MAPK signaling pathway*")</f>
        <v>0</v>
      </c>
      <c r="AJ48" s="9">
        <f>COUNTIFS(AntibodyDrugList!$I$3:$I$176,"*All forms of osteoporosis or bone loss*",AntibodyDrugList!K$3:K$176,"*Rheumatoid arthritis*")</f>
        <v>0</v>
      </c>
      <c r="AK48" s="9">
        <f>COUNTIFS(AntibodyDrugList!$I$3:$I$176,"*All forms of osteoporosis or bone loss*",AntibodyDrugList!K$3:K$176,"*Cell adhesion molecules*")</f>
        <v>0</v>
      </c>
      <c r="AL48" s="9">
        <f>COUNTIFS(AntibodyDrugList!$I$3:$I$176,"*All forms of osteoporosis or bone loss*",AntibodyDrugList!K$3:K$176,"*Focal adhesion*")</f>
        <v>0</v>
      </c>
      <c r="AM48" s="9">
        <f>COUNTIFS(AntibodyDrugList!$I$3:$I$176,"*All forms of osteoporosis or bone loss*",AntibodyDrugList!K$3:K$176,"*Jak-STAT signaling pathway*")</f>
        <v>0</v>
      </c>
      <c r="AN48" s="9">
        <f>COUNTIFS(AntibodyDrugList!$I$3:$I$176,"*All forms of osteoporosis or bone loss*",AntibodyDrugList!K$3:K$176,"*Pathways in cancer*")</f>
        <v>0</v>
      </c>
      <c r="AO48" s="9">
        <f>COUNTIFS(AntibodyDrugList!$I$3:$I$176,"*All forms of osteoporosis or bone loss*",AntibodyDrugList!K$3:K$176,"*ErbB signaling pathway*")</f>
        <v>0</v>
      </c>
      <c r="AP48" s="9">
        <f>COUNTIFS(AntibodyDrugList!$I$3:$I$176,"*All forms of osteoporosis or bone loss*",AntibodyDrugList!K$3:K$176,"*Apoptosis*")</f>
        <v>0</v>
      </c>
      <c r="AQ48" s="9">
        <f>COUNTIFS(AntibodyDrugList!$I$3:$I$176,"*All forms of osteoporosis or bone loss*",AntibodyDrugList!K$3:K$176,"*Calcium signaling pathway*")</f>
        <v>0</v>
      </c>
      <c r="AR48" s="9">
        <f>COUNTIFS(AntibodyDrugList!$I$3:$I$176,"*All forms of osteoporosis or bone loss*",AntibodyDrugList!K$3:K$176,"*T cell receptor signaling pathway*")</f>
        <v>0</v>
      </c>
      <c r="AS48" s="9">
        <f>COUNTIFS(AntibodyDrugList!$I$3:$I$176,"*All forms of osteoporosis or bone loss*",AntibodyDrugList!K$3:K$176,"*TGF-beta signaling pathway*")</f>
        <v>0</v>
      </c>
      <c r="AT48" s="9">
        <f>COUNTIFS(AntibodyDrugList!$I$3:$I$176,"*All forms of osteoporosis or bone loss*",AntibodyDrugList!K$3:K$176,"*VEGF signaling pathway*")</f>
        <v>0</v>
      </c>
      <c r="AU48" s="9">
        <f>COUNTIFS(AntibodyDrugList!$I$3:$I$176,"*All forms of osteoporosis or bone loss*",AntibodyDrugList!K$3:K$176,"*Adherens junction*")</f>
        <v>0</v>
      </c>
      <c r="AV48" s="9">
        <f>COUNTIFS(AntibodyDrugList!$I$3:$I$176,"*All forms of osteoporosis or bone loss*",AntibodyDrugList!K$3:K$176,"*Adipocytokine signaling pathway*")</f>
        <v>0</v>
      </c>
      <c r="AW48" s="9">
        <f>COUNTIFS(AntibodyDrugList!$I$3:$I$176,"*All forms of osteoporosis or bone loss*",AntibodyDrugList!K$3:K$176,"*Antigen processing and presentation*")</f>
        <v>0</v>
      </c>
      <c r="AX48" s="9">
        <f>COUNTIFS(AntibodyDrugList!$I$3:$I$176,"*All forms of osteoporosis or bone loss*",AntibodyDrugList!K$3:K$176,"*ECM-receptor interaction*")</f>
        <v>0</v>
      </c>
      <c r="AY48" s="9">
        <f>COUNTIFS(AntibodyDrugList!$I$3:$I$176,"*All forms of osteoporosis or bone loss*",AntibodyDrugList!K$3:K$176,"*NOD-like receptor signaling pathway*")</f>
        <v>0</v>
      </c>
      <c r="AZ48" s="9">
        <f>COUNTIFS(AntibodyDrugList!$I$3:$I$176,"*All forms of osteoporosis or bone loss*",AntibodyDrugList!K$3:K$176,"*Natural killer cell mediated cytotoxicity*")</f>
        <v>0</v>
      </c>
      <c r="BA48" s="3">
        <f>COUNTIFS(AntibodyDrugList!$I$3:$I$176,"*All forms of osteoporosis or bone loss*",AntibodyDrugList!K$3:K$176,"*Toll-like receptor signaling pathway*")</f>
        <v>0</v>
      </c>
      <c r="BB48" s="20">
        <f t="shared" si="0"/>
        <v>1</v>
      </c>
    </row>
    <row r="49" spans="19:54" ht="11.7" customHeight="1" x14ac:dyDescent="0.25">
      <c r="S49" s="104"/>
      <c r="T49" s="65" t="s">
        <v>1212</v>
      </c>
      <c r="U49" s="66" t="s">
        <v>517</v>
      </c>
      <c r="V49" s="20"/>
      <c r="AD49" s="91"/>
      <c r="AE49" s="9" t="s">
        <v>297</v>
      </c>
      <c r="AF49" s="12"/>
      <c r="AG49" s="9">
        <f>COUNTIFS(AntibodyDrugList!$I$3:$I$176,"*PTCL*",AntibodyDrugList!K$3:K$176,"*Cytokine-cytokine receptor interaction*")</f>
        <v>1</v>
      </c>
      <c r="AH49" s="9">
        <f>COUNTIFS(AntibodyDrugList!$I$3:$I$176,"*PTCL*",AntibodyDrugList!K$3:K$176,"*Hematopoietic cell lineage*")</f>
        <v>0</v>
      </c>
      <c r="AI49" s="9">
        <f>COUNTIFS(AntibodyDrugList!$I$3:$I$176,"*PTCL*",AntibodyDrugList!K$3:K$176,"*MAPK signaling pathway*")</f>
        <v>0</v>
      </c>
      <c r="AJ49" s="9">
        <f>COUNTIFS(AntibodyDrugList!$I$3:$I$176,"*PTCL*",AntibodyDrugList!K$3:K$176,"*Rheumatoid arthritis*")</f>
        <v>0</v>
      </c>
      <c r="AK49" s="9">
        <f>COUNTIFS(AntibodyDrugList!$I$3:$I$176,"*PTCL*",AntibodyDrugList!K$3:K$176,"*Cell adhesion molecules*")</f>
        <v>0</v>
      </c>
      <c r="AL49" s="9">
        <f>COUNTIFS(AntibodyDrugList!$I$3:$I$176,"*PTCL*",AntibodyDrugList!K$3:K$176,"*Focal adhesion*")</f>
        <v>0</v>
      </c>
      <c r="AM49" s="9">
        <f>COUNTIFS(AntibodyDrugList!$I$3:$I$176,"*PTCL*",AntibodyDrugList!K$3:K$176,"*Jak-STAT signaling pathway*")</f>
        <v>0</v>
      </c>
      <c r="AN49" s="9">
        <f>COUNTIFS(AntibodyDrugList!$I$3:$I$176,"*PTCL*",AntibodyDrugList!K$3:K$176,"*Pathways in cancer*")</f>
        <v>0</v>
      </c>
      <c r="AO49" s="9">
        <f>COUNTIFS(AntibodyDrugList!$I$3:$I$176,"*PTCL*",AntibodyDrugList!K$3:K$176,"*ErbB signaling pathway*")</f>
        <v>0</v>
      </c>
      <c r="AP49" s="9">
        <f>COUNTIFS(AntibodyDrugList!$I$3:$I$176,"*PTCL*",AntibodyDrugList!K$3:K$176,"*Apoptosis*")</f>
        <v>0</v>
      </c>
      <c r="AQ49" s="9">
        <f>COUNTIFS(AntibodyDrugList!$I$3:$I$176,"*PTCL*",AntibodyDrugList!K$3:K$176,"*Calcium signaling pathway*")</f>
        <v>0</v>
      </c>
      <c r="AR49" s="9">
        <f>COUNTIFS(AntibodyDrugList!$I$3:$I$176,"*PTCL*",AntibodyDrugList!K$3:K$176,"*T cell receptor signaling pathway*")</f>
        <v>0</v>
      </c>
      <c r="AS49" s="9">
        <f>COUNTIFS(AntibodyDrugList!$I$3:$I$176,"*PTCL*",AntibodyDrugList!K$3:K$176,"*TGF-beta signaling pathway*")</f>
        <v>0</v>
      </c>
      <c r="AT49" s="9">
        <f>COUNTIFS(AntibodyDrugList!$I$3:$I$176,"*PTCL*",AntibodyDrugList!K$3:K$176,"*VEGF signaling pathway*")</f>
        <v>0</v>
      </c>
      <c r="AU49" s="9">
        <f>COUNTIFS(AntibodyDrugList!$I$3:$I$176,"*PTCL*",AntibodyDrugList!K$3:K$176,"*Adherens junction*")</f>
        <v>0</v>
      </c>
      <c r="AV49" s="9">
        <f>COUNTIFS(AntibodyDrugList!$I$3:$I$176,"*PTCL*",AntibodyDrugList!K$3:K$176,"*Adipocytokine signaling pathway*")</f>
        <v>0</v>
      </c>
      <c r="AW49" s="9">
        <f>COUNTIFS(AntibodyDrugList!$I$3:$I$176,"*PTCL*",AntibodyDrugList!K$3:K$176,"*Antigen processing and presentation*")</f>
        <v>0</v>
      </c>
      <c r="AX49" s="9">
        <f>COUNTIFS(AntibodyDrugList!$I$3:$I$176,"*PTCL*",AntibodyDrugList!K$3:K$176,"*ECM-receptor interaction*")</f>
        <v>0</v>
      </c>
      <c r="AY49" s="9">
        <f>COUNTIFS(AntibodyDrugList!$I$3:$I$176,"*PTCL*",AntibodyDrugList!K$3:K$176,"*NOD-like receptor signaling pathway*")</f>
        <v>0</v>
      </c>
      <c r="AZ49" s="9">
        <f>COUNTIFS(AntibodyDrugList!$I$3:$I$176,"*PTCL*",AntibodyDrugList!K$3:K$176,"*Natural killer cell mediated cytotoxicity*")</f>
        <v>0</v>
      </c>
      <c r="BA49" s="3">
        <f>COUNTIFS(AntibodyDrugList!$I$3:$I$176,"*PTCL*",AntibodyDrugList!K$3:K$176,"*Toll-like receptor signaling pathway*")</f>
        <v>0</v>
      </c>
      <c r="BB49" s="20">
        <f t="shared" si="0"/>
        <v>1</v>
      </c>
    </row>
    <row r="50" spans="19:54" ht="11.7" customHeight="1" x14ac:dyDescent="0.25">
      <c r="S50" s="104"/>
      <c r="T50" s="65" t="s">
        <v>1212</v>
      </c>
      <c r="U50" s="66" t="s">
        <v>54</v>
      </c>
      <c r="V50" s="20" t="s">
        <v>865</v>
      </c>
      <c r="AD50" s="91"/>
      <c r="AE50" s="9" t="s">
        <v>298</v>
      </c>
      <c r="AF50" s="12"/>
      <c r="AG50" s="9">
        <f>COUNTIFS(AntibodyDrugList!$I$3:$I$176,"*CTCL*",AntibodyDrugList!K$3:K$176,"*Cytokine-cytokine receptor interaction*")</f>
        <v>1</v>
      </c>
      <c r="AH50" s="9">
        <f>COUNTIFS(AntibodyDrugList!$I$3:$I$176,"*CTCL*",AntibodyDrugList!K$3:K$176,"*Hematopoietic cell lineage*")</f>
        <v>0</v>
      </c>
      <c r="AI50" s="9">
        <f>COUNTIFS(AntibodyDrugList!$I$3:$I$176,"*CTCL*",AntibodyDrugList!K$3:K$176,"*MAPK signaling pathway*")</f>
        <v>0</v>
      </c>
      <c r="AJ50" s="9">
        <f>COUNTIFS(AntibodyDrugList!$I$3:$I$176,"*CTCL*",AntibodyDrugList!K$3:K$176,"*Rheumatoid arthritis*")</f>
        <v>0</v>
      </c>
      <c r="AK50" s="9">
        <f>COUNTIFS(AntibodyDrugList!$I$3:$I$176,"*CTCL*",AntibodyDrugList!K$3:K$176,"*Cell adhesion molecules*")</f>
        <v>0</v>
      </c>
      <c r="AL50" s="9">
        <f>COUNTIFS(AntibodyDrugList!$I$3:$I$176,"*CTCL*",AntibodyDrugList!K$3:K$176,"*Focal adhesion*")</f>
        <v>0</v>
      </c>
      <c r="AM50" s="9">
        <f>COUNTIFS(AntibodyDrugList!$I$3:$I$176,"*CTCL*",AntibodyDrugList!K$3:K$176,"*Jak-STAT signaling pathway*")</f>
        <v>0</v>
      </c>
      <c r="AN50" s="9">
        <f>COUNTIFS(AntibodyDrugList!$I$3:$I$176,"*CTCL*",AntibodyDrugList!K$3:K$176,"*Pathways in cancer*")</f>
        <v>0</v>
      </c>
      <c r="AO50" s="9">
        <f>COUNTIFS(AntibodyDrugList!$I$3:$I$176,"*CTCL*",AntibodyDrugList!K$3:K$176,"*ErbB signaling pathway*")</f>
        <v>0</v>
      </c>
      <c r="AP50" s="9">
        <f>COUNTIFS(AntibodyDrugList!$I$3:$I$176,"*CTCL*",AntibodyDrugList!K$3:K$176,"*Apoptosis*")</f>
        <v>0</v>
      </c>
      <c r="AQ50" s="9">
        <f>COUNTIFS(AntibodyDrugList!$I$3:$I$176,"*CTCL*",AntibodyDrugList!K$3:K$176,"*Calcium signaling pathway*")</f>
        <v>0</v>
      </c>
      <c r="AR50" s="9">
        <f>COUNTIFS(AntibodyDrugList!$I$3:$I$176,"*CTCL*",AntibodyDrugList!K$3:K$176,"*T cell receptor signaling pathway*")</f>
        <v>0</v>
      </c>
      <c r="AS50" s="9">
        <f>COUNTIFS(AntibodyDrugList!$I$3:$I$176,"*CTCL*",AntibodyDrugList!K$3:K$176,"*TGF-beta signaling pathway*")</f>
        <v>0</v>
      </c>
      <c r="AT50" s="9">
        <f>COUNTIFS(AntibodyDrugList!$I$3:$I$176,"*CTCL*",AntibodyDrugList!K$3:K$176,"*VEGF signaling pathway*")</f>
        <v>0</v>
      </c>
      <c r="AU50" s="9">
        <f>COUNTIFS(AntibodyDrugList!$I$3:$I$176,"*CTCL*",AntibodyDrugList!K$3:K$176,"*Adherens junction*")</f>
        <v>0</v>
      </c>
      <c r="AV50" s="9">
        <f>COUNTIFS(AntibodyDrugList!$I$3:$I$176,"*CTCL*",AntibodyDrugList!K$3:K$176,"*Adipocytokine signaling pathway*")</f>
        <v>0</v>
      </c>
      <c r="AW50" s="9">
        <f>COUNTIFS(AntibodyDrugList!$I$3:$I$176,"*CTCL*",AntibodyDrugList!K$3:K$176,"*Antigen processing and presentation*")</f>
        <v>0</v>
      </c>
      <c r="AX50" s="9">
        <f>COUNTIFS(AntibodyDrugList!$I$3:$I$176,"*CTCL*",AntibodyDrugList!K$3:K$176,"*ECM-receptor interaction*")</f>
        <v>0</v>
      </c>
      <c r="AY50" s="9">
        <f>COUNTIFS(AntibodyDrugList!$I$3:$I$176,"*CTCL*",AntibodyDrugList!K$3:K$176,"*NOD-like receptor signaling pathway*")</f>
        <v>0</v>
      </c>
      <c r="AZ50" s="9">
        <f>COUNTIFS(AntibodyDrugList!$I$3:$I$176,"*CTCL*",AntibodyDrugList!K$3:K$176,"*Natural killer cell mediated cytotoxicity*")</f>
        <v>0</v>
      </c>
      <c r="BA50" s="3">
        <f>COUNTIFS(AntibodyDrugList!$I$3:$I$176,"*CTCL*",AntibodyDrugList!K$3:K$176,"*Toll-like receptor signaling pathway*")</f>
        <v>0</v>
      </c>
      <c r="BB50" s="20">
        <f t="shared" si="0"/>
        <v>1</v>
      </c>
    </row>
    <row r="51" spans="19:54" ht="11.7" customHeight="1" x14ac:dyDescent="0.25">
      <c r="S51" s="104"/>
      <c r="T51" s="65" t="s">
        <v>1213</v>
      </c>
      <c r="U51" s="66" t="s">
        <v>724</v>
      </c>
      <c r="V51" s="20"/>
      <c r="AD51" s="92"/>
      <c r="AE51" s="10" t="s">
        <v>108</v>
      </c>
      <c r="AF51" s="16"/>
      <c r="AG51" s="10">
        <f>COUNTIFS(AntibodyDrugList!$I$3:$I$176,"*Acute rejection after renal transplantation*",AntibodyDrugList!K$3:K$176,"*Cytokine-cytokine receptor interaction*")</f>
        <v>1</v>
      </c>
      <c r="AH51" s="10">
        <f>COUNTIFS(AntibodyDrugList!$I$3:$I$176,"*Acute rejection after renal transplantation*",AntibodyDrugList!K$3:K$176,"*Hematopoietic cell lineage*")</f>
        <v>1</v>
      </c>
      <c r="AI51" s="10">
        <f>COUNTIFS(AntibodyDrugList!$I$3:$I$176,"*Acute rejection after renal transplantation*",AntibodyDrugList!K$3:K$176,"*MAPK signaling pathway*")</f>
        <v>0</v>
      </c>
      <c r="AJ51" s="10">
        <f>COUNTIFS(AntibodyDrugList!$I$3:$I$176,"*Acute rejection after renal transplantation*",AntibodyDrugList!K$3:K$176,"*Rheumatoid arthritis*")</f>
        <v>0</v>
      </c>
      <c r="AK51" s="10">
        <f>COUNTIFS(AntibodyDrugList!$I$3:$I$176,"*Acute rejection after renal transplantation*",AntibodyDrugList!K$3:K$176,"*Cell adhesion molecules*")</f>
        <v>0</v>
      </c>
      <c r="AL51" s="10">
        <f>COUNTIFS(AntibodyDrugList!$I$3:$I$176,"*Acute rejection after renal transplantation*",AntibodyDrugList!K$3:K$176,"*Focal adhesion*")</f>
        <v>0</v>
      </c>
      <c r="AM51" s="10">
        <f>COUNTIFS(AntibodyDrugList!$I$3:$I$176,"*Acute rejection after renal transplantation*",AntibodyDrugList!K$3:K$176,"*Jak-STAT signaling pathway*")</f>
        <v>1</v>
      </c>
      <c r="AN51" s="10">
        <f>COUNTIFS(AntibodyDrugList!$I$3:$I$176,"*Acute rejection after renal transplantation*",AntibodyDrugList!K$3:K$176,"*Pathways in cancer*")</f>
        <v>0</v>
      </c>
      <c r="AO51" s="10">
        <f>COUNTIFS(AntibodyDrugList!$I$3:$I$176,"*Acute rejection after renal transplantation*",AntibodyDrugList!K$3:K$176,"*ErbB signaling pathway*")</f>
        <v>0</v>
      </c>
      <c r="AP51" s="10">
        <f>COUNTIFS(AntibodyDrugList!$I$3:$I$176,"*Acute rejection after renal transplantation*",AntibodyDrugList!K$3:K$176,"*Apoptosis*")</f>
        <v>0</v>
      </c>
      <c r="AQ51" s="10">
        <f>COUNTIFS(AntibodyDrugList!$I$3:$I$176,"*Acute rejection after renal transplantation*",AntibodyDrugList!K$3:K$176,"*Calcium signaling pathway*")</f>
        <v>0</v>
      </c>
      <c r="AR51" s="10">
        <f>COUNTIFS(AntibodyDrugList!$I$3:$I$176,"*Acute rejection after renal transplantation*",AntibodyDrugList!K$3:K$176,"*T cell receptor signaling pathway*")</f>
        <v>0</v>
      </c>
      <c r="AS51" s="10">
        <f>COUNTIFS(AntibodyDrugList!$I$3:$I$176,"*Acute rejection after renal transplantation*",AntibodyDrugList!K$3:K$176,"*TGF-beta signaling pathway*")</f>
        <v>0</v>
      </c>
      <c r="AT51" s="10">
        <f>COUNTIFS(AntibodyDrugList!$I$3:$I$176,"*Acute rejection after renal transplantation*",AntibodyDrugList!K$3:K$176,"*VEGF signaling pathway*")</f>
        <v>0</v>
      </c>
      <c r="AU51" s="10">
        <f>COUNTIFS(AntibodyDrugList!$I$3:$I$176,"*Acute rejection after renal transplantation*",AntibodyDrugList!K$3:K$176,"*Adherens junction*")</f>
        <v>0</v>
      </c>
      <c r="AV51" s="10">
        <f>COUNTIFS(AntibodyDrugList!$I$3:$I$176,"*Acute rejection after renal transplantation*",AntibodyDrugList!K$3:K$176,"*Adipocytokine signaling pathway*")</f>
        <v>0</v>
      </c>
      <c r="AW51" s="10">
        <f>COUNTIFS(AntibodyDrugList!$I$3:$I$176,"*Acute rejection after renal transplantation*",AntibodyDrugList!K$3:K$176,"*Antigen processing and presentation*")</f>
        <v>0</v>
      </c>
      <c r="AX51" s="10">
        <f>COUNTIFS(AntibodyDrugList!$I$3:$I$176,"*Acute rejection after renal transplantation*",AntibodyDrugList!K$3:K$176,"*ECM-receptor interaction*")</f>
        <v>0</v>
      </c>
      <c r="AY51" s="10">
        <f>COUNTIFS(AntibodyDrugList!$I$3:$I$176,"*Acute rejection after renal transplantation*",AntibodyDrugList!K$3:K$176,"*NOD-like receptor signaling pathway*")</f>
        <v>0</v>
      </c>
      <c r="AZ51" s="10">
        <f>COUNTIFS(AntibodyDrugList!$I$3:$I$176,"*Acute rejection after renal transplantation*",AntibodyDrugList!K$3:K$176,"*Natural killer cell mediated cytotoxicity*")</f>
        <v>0</v>
      </c>
      <c r="BA51" s="18">
        <f>COUNTIFS(AntibodyDrugList!$I$3:$I$176,"*Acute rejection after renal transplantation*",AntibodyDrugList!K$3:K$176,"*Toll-like receptor signaling pathway*")</f>
        <v>0</v>
      </c>
      <c r="BB51" s="21">
        <f t="shared" si="0"/>
        <v>3</v>
      </c>
    </row>
    <row r="52" spans="19:54" ht="11.7" customHeight="1" thickBot="1" x14ac:dyDescent="0.3">
      <c r="S52" s="104"/>
      <c r="T52" s="65" t="s">
        <v>361</v>
      </c>
      <c r="U52" s="66" t="s">
        <v>33</v>
      </c>
      <c r="V52" s="20" t="s">
        <v>1017</v>
      </c>
      <c r="AD52" s="78" t="s">
        <v>404</v>
      </c>
      <c r="AE52" s="79"/>
      <c r="AF52" s="80"/>
      <c r="AG52" s="22">
        <f>SUM(AG17:AG18,AG22:AG51)</f>
        <v>60</v>
      </c>
      <c r="AH52" s="22">
        <f t="shared" ref="AH52:BA52" si="1">SUM(AH17:AH18,AH22:AH51)</f>
        <v>19</v>
      </c>
      <c r="AI52" s="22">
        <f t="shared" si="1"/>
        <v>34</v>
      </c>
      <c r="AJ52" s="22">
        <f t="shared" si="1"/>
        <v>36</v>
      </c>
      <c r="AK52" s="22">
        <f t="shared" si="1"/>
        <v>15</v>
      </c>
      <c r="AL52" s="22">
        <f t="shared" si="1"/>
        <v>10</v>
      </c>
      <c r="AM52" s="22">
        <f t="shared" si="1"/>
        <v>12</v>
      </c>
      <c r="AN52" s="22">
        <f t="shared" si="1"/>
        <v>6</v>
      </c>
      <c r="AO52" s="22">
        <f t="shared" si="1"/>
        <v>5</v>
      </c>
      <c r="AP52" s="22">
        <f t="shared" si="1"/>
        <v>20</v>
      </c>
      <c r="AQ52" s="22">
        <f t="shared" si="1"/>
        <v>4</v>
      </c>
      <c r="AR52" s="22">
        <f t="shared" si="1"/>
        <v>8</v>
      </c>
      <c r="AS52" s="22">
        <f t="shared" si="1"/>
        <v>19</v>
      </c>
      <c r="AT52" s="22">
        <f t="shared" si="1"/>
        <v>3</v>
      </c>
      <c r="AU52" s="22">
        <f t="shared" si="1"/>
        <v>3</v>
      </c>
      <c r="AV52" s="22">
        <f t="shared" si="1"/>
        <v>11</v>
      </c>
      <c r="AW52" s="22">
        <f t="shared" si="1"/>
        <v>18</v>
      </c>
      <c r="AX52" s="22">
        <f t="shared" si="1"/>
        <v>6</v>
      </c>
      <c r="AY52" s="22">
        <f t="shared" si="1"/>
        <v>3</v>
      </c>
      <c r="AZ52" s="22">
        <f t="shared" si="1"/>
        <v>11</v>
      </c>
      <c r="BA52" s="23">
        <f t="shared" si="1"/>
        <v>3</v>
      </c>
      <c r="BB52" s="24">
        <v>190</v>
      </c>
    </row>
    <row r="53" spans="19:54" ht="11.7" customHeight="1" x14ac:dyDescent="0.25">
      <c r="S53" s="104"/>
      <c r="T53" s="65" t="s">
        <v>361</v>
      </c>
      <c r="U53" s="67" t="s">
        <v>1333</v>
      </c>
      <c r="V53" s="20" t="s">
        <v>1291</v>
      </c>
      <c r="AD53" s="25"/>
    </row>
    <row r="54" spans="19:54" ht="11.7" customHeight="1" x14ac:dyDescent="0.25">
      <c r="S54" s="104"/>
      <c r="T54" s="65" t="s">
        <v>361</v>
      </c>
      <c r="U54" s="66" t="s">
        <v>895</v>
      </c>
      <c r="V54" s="20" t="s">
        <v>896</v>
      </c>
    </row>
    <row r="55" spans="19:54" ht="11.7" customHeight="1" x14ac:dyDescent="0.25">
      <c r="S55" s="104"/>
      <c r="T55" s="65" t="s">
        <v>367</v>
      </c>
      <c r="U55" s="66" t="s">
        <v>42</v>
      </c>
      <c r="V55" s="20" t="s">
        <v>1292</v>
      </c>
    </row>
    <row r="56" spans="19:54" ht="11.7" customHeight="1" x14ac:dyDescent="0.25">
      <c r="S56" s="104"/>
      <c r="T56" s="65" t="s">
        <v>367</v>
      </c>
      <c r="U56" s="66" t="s">
        <v>42</v>
      </c>
      <c r="V56" s="20" t="s">
        <v>911</v>
      </c>
    </row>
    <row r="57" spans="19:54" ht="11.7" customHeight="1" x14ac:dyDescent="0.25">
      <c r="S57" s="104"/>
      <c r="T57" s="65" t="s">
        <v>367</v>
      </c>
      <c r="U57" s="67" t="s">
        <v>1293</v>
      </c>
      <c r="V57" s="68" t="s">
        <v>1294</v>
      </c>
    </row>
    <row r="58" spans="19:54" ht="11.7" customHeight="1" x14ac:dyDescent="0.25">
      <c r="S58" s="104"/>
      <c r="T58" s="65" t="s">
        <v>367</v>
      </c>
      <c r="U58" s="67" t="s">
        <v>1295</v>
      </c>
      <c r="V58" s="68" t="s">
        <v>1296</v>
      </c>
    </row>
    <row r="59" spans="19:54" ht="11.7" customHeight="1" x14ac:dyDescent="0.25">
      <c r="S59" s="104"/>
      <c r="T59" s="65" t="s">
        <v>336</v>
      </c>
      <c r="U59" s="66" t="s">
        <v>466</v>
      </c>
      <c r="V59" s="20"/>
    </row>
    <row r="60" spans="19:54" ht="11.7" customHeight="1" x14ac:dyDescent="0.25">
      <c r="S60" s="104"/>
      <c r="T60" s="65" t="s">
        <v>335</v>
      </c>
      <c r="U60" s="66" t="s">
        <v>28</v>
      </c>
      <c r="V60" s="20" t="s">
        <v>852</v>
      </c>
    </row>
    <row r="61" spans="19:54" ht="11.7" customHeight="1" x14ac:dyDescent="0.25">
      <c r="S61" s="104"/>
      <c r="T61" s="65" t="s">
        <v>335</v>
      </c>
      <c r="U61" s="67" t="s">
        <v>1297</v>
      </c>
      <c r="V61" s="68" t="s">
        <v>1298</v>
      </c>
    </row>
    <row r="62" spans="19:54" ht="11.7" customHeight="1" x14ac:dyDescent="0.25">
      <c r="S62" s="104"/>
      <c r="T62" s="65" t="s">
        <v>335</v>
      </c>
      <c r="U62" s="66" t="s">
        <v>855</v>
      </c>
      <c r="V62" s="20" t="s">
        <v>856</v>
      </c>
    </row>
    <row r="63" spans="19:54" ht="11.7" customHeight="1" x14ac:dyDescent="0.25">
      <c r="S63" s="104"/>
      <c r="T63" s="65" t="s">
        <v>353</v>
      </c>
      <c r="U63" s="67" t="s">
        <v>1299</v>
      </c>
      <c r="V63" s="68" t="s">
        <v>1300</v>
      </c>
    </row>
    <row r="64" spans="19:54" ht="11.7" customHeight="1" x14ac:dyDescent="0.25">
      <c r="S64" s="104"/>
      <c r="T64" s="65" t="s">
        <v>364</v>
      </c>
      <c r="U64" s="66" t="s">
        <v>41</v>
      </c>
      <c r="V64" s="20" t="s">
        <v>902</v>
      </c>
    </row>
    <row r="65" spans="19:22" ht="11.7" customHeight="1" x14ac:dyDescent="0.25">
      <c r="S65" s="104"/>
      <c r="T65" s="65" t="s">
        <v>364</v>
      </c>
      <c r="U65" s="67" t="s">
        <v>1301</v>
      </c>
      <c r="V65" s="68" t="s">
        <v>1302</v>
      </c>
    </row>
    <row r="66" spans="19:22" ht="11.7" customHeight="1" x14ac:dyDescent="0.25">
      <c r="S66" s="104"/>
      <c r="T66" s="65" t="s">
        <v>355</v>
      </c>
      <c r="U66" s="66" t="s">
        <v>560</v>
      </c>
      <c r="V66" s="20" t="s">
        <v>885</v>
      </c>
    </row>
    <row r="67" spans="19:22" ht="11.7" customHeight="1" x14ac:dyDescent="0.25">
      <c r="S67" s="104"/>
      <c r="T67" s="65" t="s">
        <v>355</v>
      </c>
      <c r="U67" s="66" t="s">
        <v>560</v>
      </c>
      <c r="V67" s="20" t="s">
        <v>886</v>
      </c>
    </row>
    <row r="68" spans="19:22" ht="11.7" customHeight="1" x14ac:dyDescent="0.25">
      <c r="S68" s="104"/>
      <c r="T68" s="65" t="s">
        <v>342</v>
      </c>
      <c r="U68" s="67" t="s">
        <v>1303</v>
      </c>
      <c r="V68" s="68" t="s">
        <v>1304</v>
      </c>
    </row>
    <row r="69" spans="19:22" ht="11.7" customHeight="1" x14ac:dyDescent="0.25">
      <c r="S69" s="104"/>
      <c r="T69" s="65" t="s">
        <v>384</v>
      </c>
      <c r="U69" s="66" t="s">
        <v>43</v>
      </c>
      <c r="V69" s="68" t="s">
        <v>1334</v>
      </c>
    </row>
    <row r="70" spans="19:22" ht="11.7" customHeight="1" x14ac:dyDescent="0.25">
      <c r="S70" s="104"/>
      <c r="T70" s="65" t="s">
        <v>394</v>
      </c>
      <c r="U70" s="67" t="s">
        <v>1305</v>
      </c>
      <c r="V70" s="68" t="s">
        <v>1306</v>
      </c>
    </row>
    <row r="71" spans="19:22" ht="11.7" customHeight="1" x14ac:dyDescent="0.25">
      <c r="S71" s="104"/>
      <c r="T71" s="65" t="s">
        <v>390</v>
      </c>
      <c r="U71" s="67" t="s">
        <v>1307</v>
      </c>
      <c r="V71" s="68" t="s">
        <v>1308</v>
      </c>
    </row>
    <row r="72" spans="19:22" ht="11.7" customHeight="1" x14ac:dyDescent="0.25">
      <c r="S72" s="104"/>
      <c r="T72" s="65" t="s">
        <v>350</v>
      </c>
      <c r="U72" s="67" t="s">
        <v>1309</v>
      </c>
      <c r="V72" s="68" t="s">
        <v>1310</v>
      </c>
    </row>
    <row r="73" spans="19:22" ht="11.7" customHeight="1" x14ac:dyDescent="0.25">
      <c r="S73" s="104"/>
      <c r="T73" s="65" t="s">
        <v>348</v>
      </c>
      <c r="U73" s="66" t="s">
        <v>397</v>
      </c>
      <c r="V73" s="20"/>
    </row>
    <row r="74" spans="19:22" ht="11.7" customHeight="1" x14ac:dyDescent="0.25">
      <c r="S74" s="104"/>
      <c r="T74" s="65" t="s">
        <v>387</v>
      </c>
      <c r="U74" s="67" t="s">
        <v>1311</v>
      </c>
      <c r="V74" s="68" t="s">
        <v>1312</v>
      </c>
    </row>
    <row r="75" spans="19:22" ht="11.7" customHeight="1" x14ac:dyDescent="0.25">
      <c r="S75" s="104"/>
      <c r="T75" s="65" t="s">
        <v>388</v>
      </c>
      <c r="U75" s="66" t="s">
        <v>789</v>
      </c>
      <c r="V75" s="20"/>
    </row>
    <row r="76" spans="19:22" ht="11.7" customHeight="1" x14ac:dyDescent="0.25">
      <c r="S76" s="104"/>
      <c r="T76" s="65" t="s">
        <v>388</v>
      </c>
      <c r="U76" s="66" t="s">
        <v>47</v>
      </c>
      <c r="V76" s="20" t="s">
        <v>794</v>
      </c>
    </row>
    <row r="77" spans="19:22" ht="11.7" customHeight="1" x14ac:dyDescent="0.25">
      <c r="S77" s="104"/>
      <c r="T77" s="65" t="s">
        <v>349</v>
      </c>
      <c r="U77" s="67" t="s">
        <v>1313</v>
      </c>
      <c r="V77" s="68" t="s">
        <v>1314</v>
      </c>
    </row>
    <row r="78" spans="19:22" ht="11.7" customHeight="1" x14ac:dyDescent="0.25">
      <c r="S78" s="104"/>
      <c r="T78" s="65" t="s">
        <v>1214</v>
      </c>
      <c r="U78" s="67" t="s">
        <v>1315</v>
      </c>
      <c r="V78" s="68" t="s">
        <v>1316</v>
      </c>
    </row>
    <row r="79" spans="19:22" ht="11.7" customHeight="1" x14ac:dyDescent="0.25">
      <c r="S79" s="105" t="s">
        <v>325</v>
      </c>
      <c r="T79" s="61" t="s">
        <v>356</v>
      </c>
      <c r="U79" s="58" t="s">
        <v>1317</v>
      </c>
      <c r="V79" s="59" t="s">
        <v>1318</v>
      </c>
    </row>
    <row r="80" spans="19:22" ht="11.7" customHeight="1" x14ac:dyDescent="0.25">
      <c r="S80" s="105"/>
      <c r="T80" s="61" t="s">
        <v>356</v>
      </c>
      <c r="U80" s="58" t="s">
        <v>1317</v>
      </c>
      <c r="V80" s="59" t="s">
        <v>1319</v>
      </c>
    </row>
    <row r="81" spans="19:30" ht="11.7" customHeight="1" x14ac:dyDescent="0.25">
      <c r="S81" s="104" t="s">
        <v>330</v>
      </c>
      <c r="T81" s="65" t="s">
        <v>375</v>
      </c>
      <c r="U81" s="67" t="s">
        <v>1320</v>
      </c>
      <c r="V81" s="68" t="s">
        <v>1321</v>
      </c>
    </row>
    <row r="82" spans="19:30" ht="11.7" customHeight="1" x14ac:dyDescent="0.25">
      <c r="S82" s="104"/>
      <c r="T82" s="65" t="s">
        <v>382</v>
      </c>
      <c r="U82" s="66" t="s">
        <v>760</v>
      </c>
      <c r="V82" s="20" t="s">
        <v>934</v>
      </c>
    </row>
    <row r="83" spans="19:30" ht="11.7" customHeight="1" x14ac:dyDescent="0.25">
      <c r="S83" s="104"/>
      <c r="T83" s="65" t="s">
        <v>1215</v>
      </c>
      <c r="U83" s="67" t="s">
        <v>1322</v>
      </c>
      <c r="V83" s="68" t="s">
        <v>1323</v>
      </c>
    </row>
    <row r="84" spans="19:30" ht="11.7" customHeight="1" x14ac:dyDescent="0.25">
      <c r="S84" s="105" t="s">
        <v>323</v>
      </c>
      <c r="T84" s="61" t="s">
        <v>381</v>
      </c>
      <c r="U84" s="58" t="s">
        <v>1324</v>
      </c>
      <c r="V84" s="59" t="s">
        <v>1325</v>
      </c>
    </row>
    <row r="85" spans="19:30" ht="11.7" customHeight="1" x14ac:dyDescent="0.25">
      <c r="S85" s="105"/>
      <c r="T85" s="61" t="s">
        <v>337</v>
      </c>
      <c r="U85" s="58" t="s">
        <v>1335</v>
      </c>
      <c r="V85" s="11" t="s">
        <v>470</v>
      </c>
    </row>
    <row r="86" spans="19:30" ht="11.7" customHeight="1" x14ac:dyDescent="0.25">
      <c r="S86" s="62" t="s">
        <v>328</v>
      </c>
      <c r="T86" s="65" t="s">
        <v>366</v>
      </c>
      <c r="U86" s="67" t="s">
        <v>1326</v>
      </c>
      <c r="V86" s="68" t="s">
        <v>1327</v>
      </c>
    </row>
    <row r="87" spans="19:30" ht="11.7" customHeight="1" x14ac:dyDescent="0.25">
      <c r="S87" s="73" t="s">
        <v>1218</v>
      </c>
      <c r="T87" s="61" t="s">
        <v>1216</v>
      </c>
      <c r="U87" s="9" t="s">
        <v>909</v>
      </c>
      <c r="V87" s="11" t="s">
        <v>910</v>
      </c>
    </row>
    <row r="88" spans="19:30" ht="11.7" customHeight="1" x14ac:dyDescent="0.25">
      <c r="S88" s="62" t="s">
        <v>331</v>
      </c>
      <c r="T88" s="65" t="s">
        <v>389</v>
      </c>
      <c r="U88" s="66" t="s">
        <v>231</v>
      </c>
      <c r="V88" s="20" t="s">
        <v>937</v>
      </c>
    </row>
    <row r="89" spans="19:30" ht="11.7" customHeight="1" x14ac:dyDescent="0.25">
      <c r="S89" s="105" t="s">
        <v>324</v>
      </c>
      <c r="T89" s="61" t="s">
        <v>1217</v>
      </c>
      <c r="U89" s="9" t="s">
        <v>846</v>
      </c>
      <c r="V89" s="11" t="s">
        <v>940</v>
      </c>
    </row>
    <row r="90" spans="19:30" ht="11.7" customHeight="1" x14ac:dyDescent="0.25">
      <c r="S90" s="105"/>
      <c r="T90" s="61" t="s">
        <v>341</v>
      </c>
      <c r="U90" s="9" t="s">
        <v>503</v>
      </c>
      <c r="V90" s="11" t="s">
        <v>861</v>
      </c>
    </row>
    <row r="91" spans="19:30" ht="11.7" customHeight="1" x14ac:dyDescent="0.25">
      <c r="S91" s="105"/>
      <c r="T91" s="61" t="s">
        <v>386</v>
      </c>
      <c r="U91" s="9" t="s">
        <v>1070</v>
      </c>
      <c r="V91" s="11" t="s">
        <v>396</v>
      </c>
    </row>
    <row r="92" spans="19:30" ht="11.7" customHeight="1" x14ac:dyDescent="0.25">
      <c r="S92" s="105"/>
      <c r="T92" s="61" t="s">
        <v>351</v>
      </c>
      <c r="U92" s="9" t="s">
        <v>121</v>
      </c>
      <c r="V92" s="11" t="s">
        <v>879</v>
      </c>
    </row>
    <row r="93" spans="19:30" ht="11.7" customHeight="1" x14ac:dyDescent="0.25">
      <c r="S93" s="104" t="s">
        <v>327</v>
      </c>
      <c r="T93" s="65" t="s">
        <v>391</v>
      </c>
      <c r="U93" s="66" t="s">
        <v>40</v>
      </c>
      <c r="V93" s="20" t="s">
        <v>938</v>
      </c>
    </row>
    <row r="94" spans="19:30" ht="11.7" customHeight="1" thickBot="1" x14ac:dyDescent="0.3">
      <c r="S94" s="106"/>
      <c r="T94" s="69" t="s">
        <v>365</v>
      </c>
      <c r="U94" s="70" t="s">
        <v>1328</v>
      </c>
      <c r="V94" s="71" t="s">
        <v>1329</v>
      </c>
    </row>
    <row r="95" spans="19:30" ht="11.7" customHeight="1" x14ac:dyDescent="0.25">
      <c r="AD95" s="1"/>
    </row>
    <row r="96" spans="19:30" ht="11.7" customHeight="1" x14ac:dyDescent="0.25">
      <c r="AD96" s="1"/>
    </row>
  </sheetData>
  <mergeCells count="39">
    <mergeCell ref="S39:S78"/>
    <mergeCell ref="S79:S80"/>
    <mergeCell ref="S81:S83"/>
    <mergeCell ref="S84:S85"/>
    <mergeCell ref="S89:S92"/>
    <mergeCell ref="S93:S94"/>
    <mergeCell ref="BB2:BB16"/>
    <mergeCell ref="BA2:BA16"/>
    <mergeCell ref="AN2:AN16"/>
    <mergeCell ref="AM2:AM16"/>
    <mergeCell ref="AL2:AL16"/>
    <mergeCell ref="AU2:AU16"/>
    <mergeCell ref="AV2:AV16"/>
    <mergeCell ref="AW2:AW16"/>
    <mergeCell ref="AX2:AX16"/>
    <mergeCell ref="AY2:AY16"/>
    <mergeCell ref="AZ2:AZ16"/>
    <mergeCell ref="AO2:AO16"/>
    <mergeCell ref="AP2:AP16"/>
    <mergeCell ref="AQ2:AQ16"/>
    <mergeCell ref="AR2:AR16"/>
    <mergeCell ref="AS2:AS16"/>
    <mergeCell ref="AT2:AT16"/>
    <mergeCell ref="AK2:AK16"/>
    <mergeCell ref="AH2:AH16"/>
    <mergeCell ref="S2:V2"/>
    <mergeCell ref="X2:X3"/>
    <mergeCell ref="Y2:Y3"/>
    <mergeCell ref="AA2:AA3"/>
    <mergeCell ref="AB2:AB3"/>
    <mergeCell ref="AG2:AG16"/>
    <mergeCell ref="S5:S7"/>
    <mergeCell ref="S8:S12"/>
    <mergeCell ref="S13:S38"/>
    <mergeCell ref="AD52:AF52"/>
    <mergeCell ref="AD2:AF16"/>
    <mergeCell ref="AD17:AD51"/>
    <mergeCell ref="AI2:AI16"/>
    <mergeCell ref="AJ2:AJ16"/>
  </mergeCells>
  <phoneticPr fontId="3"/>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AntibodyDrugList</vt:lpstr>
      <vt:lpstr>Figures&amp;Tables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kouno</dc:creator>
  <cp:lastModifiedBy>fukui</cp:lastModifiedBy>
  <cp:lastPrinted>2016-03-09T01:56:11Z</cp:lastPrinted>
  <dcterms:created xsi:type="dcterms:W3CDTF">2015-11-20T03:34:22Z</dcterms:created>
  <dcterms:modified xsi:type="dcterms:W3CDTF">2017-03-13T09:05:10Z</dcterms:modified>
</cp:coreProperties>
</file>